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3" activeTab="23"/>
  </bookViews>
  <sheets>
    <sheet name="ALTW" sheetId="1" r:id="rId1"/>
    <sheet name="ATCLLC" sheetId="2" r:id="rId2"/>
    <sheet name="CILCO" sheetId="3" r:id="rId3"/>
    <sheet name="Duke" sheetId="4" r:id="rId4"/>
    <sheet name="ColumbiaMO" sheetId="5" r:id="rId5"/>
    <sheet name="CWLP" sheetId="6" r:id="rId6"/>
    <sheet name="GRE" sheetId="7" r:id="rId7"/>
    <sheet name="Ameren" sheetId="8" r:id="rId8"/>
    <sheet name="ATSI" sheetId="9" r:id="rId9"/>
    <sheet name="NIPSCO" sheetId="10" r:id="rId10"/>
    <sheet name="Hoosier" sheetId="11" r:id="rId11"/>
    <sheet name="IP" sheetId="12" r:id="rId12"/>
    <sheet name="ITC" sheetId="13" r:id="rId13"/>
    <sheet name="IPL" sheetId="14" r:id="rId14"/>
    <sheet name="METC" sheetId="15" r:id="rId15"/>
    <sheet name="MP" sheetId="16" r:id="rId16"/>
    <sheet name="MDU" sheetId="17" r:id="rId17"/>
    <sheet name="NSP" sheetId="18" r:id="rId18"/>
    <sheet name="OTP" sheetId="19" r:id="rId19"/>
    <sheet name="SIPC" sheetId="20" r:id="rId20"/>
    <sheet name="SMMPA" sheetId="21" r:id="rId21"/>
    <sheet name="Vectren" sheetId="22" r:id="rId22"/>
    <sheet name="MH" sheetId="23" r:id="rId23"/>
    <sheet name="Summary" sheetId="24" r:id="rId24"/>
    <sheet name="PostageStamp" sheetId="25" r:id="rId25"/>
    <sheet name="Depreciation Effect" sheetId="26" r:id="rId26"/>
  </sheets>
  <definedNames>
    <definedName name="_xlnm.Print_Area" localSheetId="24">'PostageStamp'!$A$2:$I$33</definedName>
    <definedName name="_xlnm.Print_Area" localSheetId="23">'Summary'!$A$64:$H$117</definedName>
  </definedNames>
  <calcPr fullCalcOnLoad="1"/>
</workbook>
</file>

<file path=xl/sharedStrings.xml><?xml version="1.0" encoding="utf-8"?>
<sst xmlns="http://schemas.openxmlformats.org/spreadsheetml/2006/main" count="444" uniqueCount="95">
  <si>
    <t>Per kW/Mo</t>
  </si>
  <si>
    <t>Depreciation</t>
  </si>
  <si>
    <t>Load Growth</t>
  </si>
  <si>
    <t>New Plant</t>
  </si>
  <si>
    <t>New Plant Rev Rqmt</t>
  </si>
  <si>
    <t>Coincident Load kW:</t>
  </si>
  <si>
    <t>Rate Effect of New Plant:</t>
  </si>
  <si>
    <t>ATSI</t>
  </si>
  <si>
    <t>Base Case</t>
  </si>
  <si>
    <t xml:space="preserve"> Change</t>
  </si>
  <si>
    <t>Percent</t>
  </si>
  <si>
    <t>Duke</t>
  </si>
  <si>
    <t>Xcel</t>
  </si>
  <si>
    <t>IP</t>
  </si>
  <si>
    <t>Ameren</t>
  </si>
  <si>
    <t>CILCO</t>
  </si>
  <si>
    <t>WVPA</t>
  </si>
  <si>
    <t>NIPSCO</t>
  </si>
  <si>
    <t>GRE</t>
  </si>
  <si>
    <t>SIGE</t>
  </si>
  <si>
    <t>OTP</t>
  </si>
  <si>
    <t>LGE</t>
  </si>
  <si>
    <t>IPL</t>
  </si>
  <si>
    <t xml:space="preserve"> Effect</t>
  </si>
  <si>
    <t>MDU</t>
  </si>
  <si>
    <t>SIPC</t>
  </si>
  <si>
    <t>MP</t>
  </si>
  <si>
    <t>ALTW</t>
  </si>
  <si>
    <t>ITC</t>
  </si>
  <si>
    <t>CWLP</t>
  </si>
  <si>
    <t>HE</t>
  </si>
  <si>
    <t>ATC</t>
  </si>
  <si>
    <t>ave:</t>
  </si>
  <si>
    <t xml:space="preserve"> </t>
  </si>
  <si>
    <t>This assumes that joint projects with GRE and Xcel Energy are totally financed by MP</t>
  </si>
  <si>
    <t>NIPSCO:</t>
  </si>
  <si>
    <t>Otter Tail Power:</t>
  </si>
  <si>
    <t>Minnesota Power</t>
  </si>
  <si>
    <t>Also assumes MP finances Boswell-Wilton line</t>
  </si>
  <si>
    <t>SIPC:</t>
  </si>
  <si>
    <t>Xcel (NSP):</t>
  </si>
  <si>
    <t>Assumes Xcel Energy finances all the joint projects listed in the MISO Project Database</t>
  </si>
  <si>
    <t>Alliant West</t>
  </si>
  <si>
    <t>CILCO:</t>
  </si>
  <si>
    <t>Illinois Power:</t>
  </si>
  <si>
    <t>Cinergy (Duke):</t>
  </si>
  <si>
    <t>Assumes that GRE will assume $35 million of 2012 project in conjunction with MP and Xcel Energy</t>
  </si>
  <si>
    <t>Assumes for 2011 that GRE carries a 2005 load ratio share of joint projects with Xcel Energy:  953,326+7,727,545=8,680,871 kW</t>
  </si>
  <si>
    <t>ATCLLC</t>
  </si>
  <si>
    <t>Columbia MO</t>
  </si>
  <si>
    <t>Ameren (UE-CIPS)</t>
  </si>
  <si>
    <t>ATSI (FE)</t>
  </si>
  <si>
    <t>Hoosier</t>
  </si>
  <si>
    <t>Ameren IP</t>
  </si>
  <si>
    <t>IP&amp;L</t>
  </si>
  <si>
    <t>METC</t>
  </si>
  <si>
    <t>Xcel (NSP)</t>
  </si>
  <si>
    <t>SMMPA</t>
  </si>
  <si>
    <t>Vectren (SIEGO)</t>
  </si>
  <si>
    <t>MH</t>
  </si>
  <si>
    <t>Duke (Cinergy)</t>
  </si>
  <si>
    <t>Unweighted Average:</t>
  </si>
  <si>
    <t xml:space="preserve">Notes:  </t>
  </si>
  <si>
    <t>The 2006 rates are the current Schedule 7 numbers derived from 2005 cost of service data, except for ATC, which uses a future cost year.</t>
  </si>
  <si>
    <t>The capital expenditures are from the Midwest ISO MTEP-06 as of August 3, 2006.</t>
  </si>
  <si>
    <t>The annual incremental revenue requirement is one-fifth of the capital expenditures (i.e., a 20% Fixed Charge Rate)</t>
  </si>
  <si>
    <t>The assumed annual load growth is 2.5%.  Absent a change in annual revenue requirements, the nominal rate would decrease 2.5%.</t>
  </si>
  <si>
    <t>The effect of book depreciation, ceteris paribus, is to reduce nominal rates by 2.6% per year.  See Depreciation Effect worksheet.</t>
  </si>
  <si>
    <t xml:space="preserve"> 12 CP Load</t>
  </si>
  <si>
    <t>Total:</t>
  </si>
  <si>
    <t>Percent Increase:</t>
  </si>
  <si>
    <t>Additions to Plant in Service 345 kV &amp; Above</t>
  </si>
  <si>
    <t>AmerenCILCO</t>
  </si>
  <si>
    <t>Rate Effect w/o 345 kV:</t>
  </si>
  <si>
    <t>Rev Reqmts @ 20%</t>
  </si>
  <si>
    <t>Postage Stamp</t>
  </si>
  <si>
    <t>Regionalized 345 kV:</t>
  </si>
  <si>
    <t xml:space="preserve"> "Regionalize 345 kV" means that all new plant at &amp; above 345 kV is regionalized, but all plant below remains in license plate rate</t>
  </si>
  <si>
    <t>Additive Postage Stamp:</t>
  </si>
  <si>
    <t>Cumulative Postage Stamp Effect:</t>
  </si>
  <si>
    <t>International Transmission Company</t>
  </si>
  <si>
    <t>Vectren (SIEGO):</t>
  </si>
  <si>
    <t>Manitoba Hydro</t>
  </si>
  <si>
    <t>METC:</t>
  </si>
  <si>
    <t>IP&amp;L:</t>
  </si>
  <si>
    <t>Hoosier Energy:</t>
  </si>
  <si>
    <t>FirstEnergy (ATSI):</t>
  </si>
  <si>
    <t>AmerenUE:</t>
  </si>
  <si>
    <t>CWLP:</t>
  </si>
  <si>
    <t>Columbia MO:</t>
  </si>
  <si>
    <t>Regionalize 345 kV and Lower Voltages Stay in Pricing Zones ($/kW-mo)</t>
  </si>
  <si>
    <t>Percent Increase Per Annum in Delivered Price of Electricity</t>
  </si>
  <si>
    <t>Maximum:</t>
  </si>
  <si>
    <t>Present &amp; Future License Plate Rates:</t>
  </si>
  <si>
    <t>Postage Stamp Rate Design: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</si>
</sst>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_);_(@_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&quot;$&quot;* #,##0.000_);_(&quot;$&quot;* \(#,##0.000\);_(&quot;$&quot;* &quot;-&quot;??_);_(@_)"/>
    <numFmt numFmtId="172" formatCode="0.0%"/>
    <numFmt numFmtId="173" formatCode="_(* #,##0.000_);_(* \(#,##0.000\);_(* &quot;-&quot;?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sz val="10"/>
      <color indexed="10"/>
      <name val="Arial"/>
      <family val="0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6" fontId="0" fillId="0" borderId="0" xfId="17" applyNumberFormat="1" applyAlignment="1">
      <alignment/>
    </xf>
    <xf numFmtId="170" fontId="0" fillId="0" borderId="0" xfId="15" applyNumberFormat="1" applyAlignment="1">
      <alignment/>
    </xf>
    <xf numFmtId="166" fontId="0" fillId="0" borderId="0" xfId="17" applyNumberFormat="1" applyFont="1" applyAlignment="1">
      <alignment/>
    </xf>
    <xf numFmtId="44" fontId="0" fillId="0" borderId="0" xfId="17" applyFont="1" applyAlignment="1">
      <alignment/>
    </xf>
    <xf numFmtId="170" fontId="0" fillId="0" borderId="0" xfId="15" applyNumberFormat="1" applyFont="1" applyAlignment="1">
      <alignment/>
    </xf>
    <xf numFmtId="0" fontId="0" fillId="0" borderId="0" xfId="0" applyFont="1" applyAlignment="1">
      <alignment/>
    </xf>
    <xf numFmtId="44" fontId="0" fillId="0" borderId="0" xfId="17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172" fontId="2" fillId="0" borderId="0" xfId="21" applyNumberFormat="1" applyFont="1" applyAlignment="1">
      <alignment horizontal="center"/>
    </xf>
    <xf numFmtId="172" fontId="0" fillId="0" borderId="0" xfId="21" applyNumberFormat="1" applyAlignment="1">
      <alignment/>
    </xf>
    <xf numFmtId="172" fontId="0" fillId="0" borderId="0" xfId="21" applyNumberFormat="1" applyFont="1" applyAlignment="1">
      <alignment/>
    </xf>
    <xf numFmtId="172" fontId="4" fillId="0" borderId="0" xfId="21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17" applyNumberFormat="1" applyAlignment="1">
      <alignment/>
    </xf>
    <xf numFmtId="44" fontId="6" fillId="0" borderId="0" xfId="17" applyFont="1" applyAlignment="1">
      <alignment/>
    </xf>
    <xf numFmtId="172" fontId="0" fillId="0" borderId="0" xfId="0" applyNumberFormat="1" applyAlignment="1">
      <alignment/>
    </xf>
    <xf numFmtId="9" fontId="6" fillId="0" borderId="0" xfId="2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5"/>
  <sheetViews>
    <sheetView workbookViewId="0" topLeftCell="A1">
      <selection activeCell="F13" sqref="F13"/>
    </sheetView>
  </sheetViews>
  <sheetFormatPr defaultColWidth="9.140625" defaultRowHeight="12.75"/>
  <cols>
    <col min="3" max="3" width="22.140625" style="0" bestFit="1" customWidth="1"/>
    <col min="4" max="4" width="12.8515625" style="0" bestFit="1" customWidth="1"/>
    <col min="5" max="5" width="14.28125" style="0" bestFit="1" customWidth="1"/>
    <col min="6" max="9" width="12.8515625" style="0" bestFit="1" customWidth="1"/>
  </cols>
  <sheetData>
    <row r="1" ht="12.75">
      <c r="C1" s="21" t="s">
        <v>42</v>
      </c>
    </row>
    <row r="2" spans="4:9" ht="12.75">
      <c r="D2" s="20">
        <v>2006</v>
      </c>
      <c r="E2" s="20">
        <v>2007</v>
      </c>
      <c r="F2" s="20">
        <v>2008</v>
      </c>
      <c r="G2" s="20">
        <v>2009</v>
      </c>
      <c r="H2" s="20">
        <v>2010</v>
      </c>
      <c r="I2" s="20">
        <v>2011</v>
      </c>
    </row>
    <row r="3" spans="3:9" ht="12.75">
      <c r="C3" t="s">
        <v>0</v>
      </c>
      <c r="D3" s="1">
        <v>2.302</v>
      </c>
      <c r="E3" s="2">
        <f>D3+E4+E5+E9</f>
        <v>2.2427890089422675</v>
      </c>
      <c r="F3" s="2">
        <f>E3+F4+F5+F9</f>
        <v>2.1284067694862117</v>
      </c>
      <c r="G3" s="2">
        <f>F3+G4+G5+G9</f>
        <v>2.019858024242415</v>
      </c>
      <c r="H3" s="2">
        <f>G3+H4+H5+H9</f>
        <v>1.9191194869568138</v>
      </c>
      <c r="I3" s="2">
        <f>H3+I4+I5+I9</f>
        <v>1.8212443931220164</v>
      </c>
    </row>
    <row r="4" spans="3:9" ht="12.75">
      <c r="C4" t="s">
        <v>1</v>
      </c>
      <c r="E4" s="2">
        <f>-0.026*D3</f>
        <v>-0.059851999999999995</v>
      </c>
      <c r="F4" s="2">
        <f>-0.026*E3</f>
        <v>-0.05831251423249895</v>
      </c>
      <c r="G4" s="2">
        <f>-0.026*F3</f>
        <v>-0.0553385760066415</v>
      </c>
      <c r="H4" s="2">
        <f>-0.026*G3</f>
        <v>-0.05251630863030279</v>
      </c>
      <c r="I4" s="2">
        <f>-0.026*H3</f>
        <v>-0.049897106660877155</v>
      </c>
    </row>
    <row r="5" spans="3:9" ht="12.75">
      <c r="C5" t="s">
        <v>2</v>
      </c>
      <c r="E5" s="2">
        <f>-0.025*D3</f>
        <v>-0.057550000000000004</v>
      </c>
      <c r="F5" s="2">
        <f>-0.025*E3</f>
        <v>-0.05606972522355669</v>
      </c>
      <c r="G5" s="2">
        <f>-0.025*F3</f>
        <v>-0.0532101692371553</v>
      </c>
      <c r="H5" s="2">
        <f>-0.025*G3</f>
        <v>-0.050496450606060374</v>
      </c>
      <c r="I5" s="2">
        <f>-0.025*H3</f>
        <v>-0.04797798717392035</v>
      </c>
    </row>
    <row r="6" spans="3:9" ht="12.75">
      <c r="C6" t="s">
        <v>3</v>
      </c>
      <c r="E6" s="4">
        <f>8000000+650000+1757000</f>
        <v>10407000</v>
      </c>
      <c r="F6" s="4">
        <v>0</v>
      </c>
      <c r="G6" s="1">
        <v>0</v>
      </c>
      <c r="H6" s="4">
        <v>438000</v>
      </c>
      <c r="I6" s="1">
        <v>0</v>
      </c>
    </row>
    <row r="7" spans="3:9" ht="12.75">
      <c r="C7" t="s">
        <v>4</v>
      </c>
      <c r="E7" s="4">
        <f>0.2*E6</f>
        <v>2081400</v>
      </c>
      <c r="F7" s="4">
        <f>0.2*F6</f>
        <v>0</v>
      </c>
      <c r="G7" s="4">
        <f>0.2*G6</f>
        <v>0</v>
      </c>
      <c r="H7" s="4">
        <f>0.2*H6</f>
        <v>87600</v>
      </c>
      <c r="I7" s="4">
        <f>0.2*I6</f>
        <v>0</v>
      </c>
    </row>
    <row r="8" spans="3:9" ht="12.75">
      <c r="C8" t="s">
        <v>5</v>
      </c>
      <c r="D8" s="5">
        <v>2908001</v>
      </c>
      <c r="E8" s="5">
        <f>D8*1.025</f>
        <v>2980701.025</v>
      </c>
      <c r="F8" s="5">
        <f>E8*1.025</f>
        <v>3055218.5506249997</v>
      </c>
      <c r="G8" s="5">
        <f>F8*1.025</f>
        <v>3131599.0143906246</v>
      </c>
      <c r="H8" s="5">
        <f>G8*1.025</f>
        <v>3209888.98975039</v>
      </c>
      <c r="I8" s="5">
        <f>H8*1.025</f>
        <v>3290136.214494149</v>
      </c>
    </row>
    <row r="9" spans="3:9" ht="12.75">
      <c r="C9" t="s">
        <v>6</v>
      </c>
      <c r="E9" s="1">
        <f>E7/E8/12</f>
        <v>0.0581910089422672</v>
      </c>
      <c r="F9" s="23">
        <f>F7/F8/12</f>
        <v>0</v>
      </c>
      <c r="G9" s="1">
        <f>G7/G8/12</f>
        <v>0</v>
      </c>
      <c r="H9" s="1">
        <f>H7/H8/12</f>
        <v>0.0022742219507621256</v>
      </c>
      <c r="I9" s="1">
        <f>I7/I8/12</f>
        <v>0</v>
      </c>
    </row>
    <row r="11" spans="3:9" ht="12.75">
      <c r="C11" t="s">
        <v>79</v>
      </c>
      <c r="E11" s="2">
        <f>PostageStamp!C33</f>
        <v>0.18988519202377838</v>
      </c>
      <c r="F11" s="2">
        <f>PostageStamp!D33</f>
        <v>0.5609480742054761</v>
      </c>
      <c r="G11" s="2">
        <f>PostageStamp!E33</f>
        <v>1.2207782295385292</v>
      </c>
      <c r="H11" s="2">
        <f>PostageStamp!F33</f>
        <v>1.3263172159728382</v>
      </c>
      <c r="I11" s="2">
        <f>PostageStamp!G33</f>
        <v>1.3814755254532614</v>
      </c>
    </row>
    <row r="13" spans="3:9" ht="12.75">
      <c r="C13" t="s">
        <v>76</v>
      </c>
      <c r="E13" s="2">
        <f>D3+E4+E5+E9+E11</f>
        <v>2.432674200966046</v>
      </c>
      <c r="F13" s="2">
        <f>E3+F4+F5+F9+F11</f>
        <v>2.689354843691688</v>
      </c>
      <c r="G13" s="2">
        <f>F3+G4+G5+G9+G11</f>
        <v>3.240636253780944</v>
      </c>
      <c r="H13" s="2">
        <f>G3+H4+H5+H9+H11</f>
        <v>3.245436702929652</v>
      </c>
      <c r="I13" s="2">
        <f>H3+I4+I5+I9+I11</f>
        <v>3.2027199185752777</v>
      </c>
    </row>
    <row r="15" ht="12.75">
      <c r="C15" s="19" t="s"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  <col min="2" max="7" width="11.28125" style="0" bestFit="1" customWidth="1"/>
  </cols>
  <sheetData>
    <row r="1" ht="12.75">
      <c r="A1" s="21" t="s">
        <v>35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1.942</v>
      </c>
      <c r="C3" s="2">
        <f>B3+C4+C5+C9</f>
        <v>1.8858298329142564</v>
      </c>
      <c r="D3" s="2">
        <f>C3+D4+D5+D9</f>
        <v>1.8288477008710144</v>
      </c>
      <c r="E3" s="2">
        <f>D3+E4+E5+E9</f>
        <v>1.7760236185483396</v>
      </c>
      <c r="F3" s="2">
        <f>E3+F4+F5+F9</f>
        <v>1.7138627918991476</v>
      </c>
      <c r="G3" s="2">
        <f>F3+G4+G5+G9</f>
        <v>1.6538775941826773</v>
      </c>
    </row>
    <row r="4" spans="1:7" ht="12.75">
      <c r="A4" t="s">
        <v>1</v>
      </c>
      <c r="C4" s="2">
        <f>-0.01*B3</f>
        <v>-0.01942</v>
      </c>
      <c r="D4" s="2">
        <f>-0.01*C3</f>
        <v>-0.018858298329142566</v>
      </c>
      <c r="E4" s="2">
        <f>-0.01*D3</f>
        <v>-0.018288477008710145</v>
      </c>
      <c r="F4" s="2">
        <f>-0.01*E3</f>
        <v>-0.017760236185483395</v>
      </c>
      <c r="G4" s="2">
        <f>-0.01*F3</f>
        <v>-0.017138627918991477</v>
      </c>
    </row>
    <row r="5" spans="1:7" ht="12.75">
      <c r="A5" t="s">
        <v>2</v>
      </c>
      <c r="C5" s="2">
        <f>-0.025*B3</f>
        <v>-0.04855</v>
      </c>
      <c r="D5" s="2">
        <f>-0.025*C3</f>
        <v>-0.04714574582285641</v>
      </c>
      <c r="E5" s="2">
        <f>-0.025*D3</f>
        <v>-0.04572119252177537</v>
      </c>
      <c r="F5" s="2">
        <f>-0.025*E3</f>
        <v>-0.04440059046370849</v>
      </c>
      <c r="G5" s="2">
        <f>-0.025*F3</f>
        <v>-0.042846569797478695</v>
      </c>
    </row>
    <row r="6" spans="1:7" ht="12.75">
      <c r="A6" t="s">
        <v>3</v>
      </c>
      <c r="B6" s="1"/>
      <c r="C6" s="6">
        <v>5607800</v>
      </c>
      <c r="D6" s="4">
        <v>4394800</v>
      </c>
      <c r="E6" s="4">
        <v>5585000</v>
      </c>
      <c r="F6" s="4">
        <v>0</v>
      </c>
      <c r="G6" s="4">
        <v>0</v>
      </c>
    </row>
    <row r="7" spans="1:7" ht="12.75">
      <c r="A7" t="s">
        <v>4</v>
      </c>
      <c r="C7" s="4">
        <f>0.2*C6</f>
        <v>1121560</v>
      </c>
      <c r="D7" s="4">
        <f>0.2*D6</f>
        <v>878960</v>
      </c>
      <c r="E7" s="4">
        <f>0.2*E6</f>
        <v>1117000</v>
      </c>
      <c r="F7" s="4">
        <f>0.2*F6</f>
        <v>0</v>
      </c>
      <c r="G7" s="4">
        <f>0.2*G6</f>
        <v>0</v>
      </c>
    </row>
    <row r="8" spans="1:7" ht="12.75">
      <c r="A8" t="s">
        <v>5</v>
      </c>
      <c r="B8" s="5">
        <v>7727545</v>
      </c>
      <c r="C8" s="5">
        <f>B8*1.025</f>
        <v>7920733.624999999</v>
      </c>
      <c r="D8" s="5">
        <f>C8*1.025</f>
        <v>8118751.965624998</v>
      </c>
      <c r="E8" s="5">
        <f>D8*1.025</f>
        <v>8321720.764765623</v>
      </c>
      <c r="F8" s="5">
        <f>E8*1.025</f>
        <v>8529763.783884764</v>
      </c>
      <c r="G8" s="5">
        <f>F8*1.025</f>
        <v>8743007.878481882</v>
      </c>
    </row>
    <row r="9" spans="1:7" ht="12.75">
      <c r="A9" t="s">
        <v>6</v>
      </c>
      <c r="C9" s="1">
        <f>C7/C8/12</f>
        <v>0.011799832914256519</v>
      </c>
      <c r="D9" s="1">
        <f>D7/D8/12</f>
        <v>0.009021912108756976</v>
      </c>
      <c r="E9" s="1">
        <f>E7/E8/12</f>
        <v>0.011185587207810497</v>
      </c>
      <c r="F9" s="1">
        <f>F7/F8/12</f>
        <v>0</v>
      </c>
      <c r="G9" s="1">
        <f>G7/G8/12</f>
        <v>0</v>
      </c>
    </row>
    <row r="11" spans="1:7" ht="12.75">
      <c r="A11" t="s">
        <v>73</v>
      </c>
      <c r="C11" s="2">
        <f>C9</f>
        <v>0.011799832914256519</v>
      </c>
      <c r="D11" s="4">
        <f>C10</f>
        <v>0</v>
      </c>
      <c r="E11" s="23">
        <f>((E6-3392400)*0.2)/(E8*12)</f>
        <v>0.004391319339632103</v>
      </c>
      <c r="F11" s="4">
        <f>F9</f>
        <v>0</v>
      </c>
      <c r="G11" s="4">
        <f>G9</f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2.075715024938035</v>
      </c>
      <c r="D15" s="2">
        <f>C3+D4+D5+D11+D13</f>
        <v>2.3807738629677337</v>
      </c>
      <c r="E15" s="2">
        <f>D3+E4+E5+E11+E13</f>
        <v>2.9900075802186903</v>
      </c>
      <c r="F15" s="2">
        <f>E3+F4+F5+F11+F13</f>
        <v>3.040180007871986</v>
      </c>
      <c r="G15" s="2">
        <f>F3+G4+G5+G11+G13</f>
        <v>3.0353531196359387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  <col min="2" max="5" width="10.28125" style="0" bestFit="1" customWidth="1"/>
    <col min="6" max="6" width="11.28125" style="0" customWidth="1"/>
    <col min="7" max="7" width="10.28125" style="0" bestFit="1" customWidth="1"/>
  </cols>
  <sheetData>
    <row r="1" ht="12.75">
      <c r="A1" s="21" t="s">
        <v>85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3.17</v>
      </c>
      <c r="C3" s="2">
        <f>B3+C4+C5+C9</f>
        <v>3.05905</v>
      </c>
      <c r="D3" s="2">
        <f>C3+D4+D5+D9</f>
        <v>2.95198325</v>
      </c>
      <c r="E3" s="2">
        <f>D3+E4+E5+E9</f>
        <v>2.84866383625</v>
      </c>
      <c r="F3" s="2">
        <f>E3+F4+F5+F9</f>
        <v>2.797812435165334</v>
      </c>
      <c r="G3" s="2">
        <f>F3+G4+G5+G9</f>
        <v>2.6998889999345472</v>
      </c>
    </row>
    <row r="4" spans="1:7" ht="12.75">
      <c r="A4" t="s">
        <v>1</v>
      </c>
      <c r="C4" s="2">
        <f>-0.01*B3</f>
        <v>-0.0317</v>
      </c>
      <c r="D4" s="2">
        <f>-0.01*C3</f>
        <v>-0.0305905</v>
      </c>
      <c r="E4" s="2">
        <f>-0.01*D3</f>
        <v>-0.029519832500000003</v>
      </c>
      <c r="F4" s="2">
        <f>-0.01*E3</f>
        <v>-0.0284866383625</v>
      </c>
      <c r="G4" s="2">
        <f>-0.01*F3</f>
        <v>-0.02797812435165334</v>
      </c>
    </row>
    <row r="5" spans="1:7" ht="12.75">
      <c r="A5" t="s">
        <v>2</v>
      </c>
      <c r="C5" s="2">
        <f>-0.025*B3</f>
        <v>-0.07925</v>
      </c>
      <c r="D5" s="2">
        <f>-0.025*C3</f>
        <v>-0.07647625000000001</v>
      </c>
      <c r="E5" s="2">
        <f>-0.025*D3</f>
        <v>-0.07379958125000001</v>
      </c>
      <c r="F5" s="2">
        <f>-0.025*E3</f>
        <v>-0.07121659590625</v>
      </c>
      <c r="G5" s="2">
        <f>-0.025*F3</f>
        <v>-0.06994531087913335</v>
      </c>
    </row>
    <row r="6" spans="1:7" ht="12.75">
      <c r="A6" t="s">
        <v>3</v>
      </c>
      <c r="B6" s="1"/>
      <c r="C6" s="7"/>
      <c r="D6" s="1"/>
      <c r="E6" s="1"/>
      <c r="F6" s="4">
        <v>1850000</v>
      </c>
      <c r="G6" s="1"/>
    </row>
    <row r="7" spans="1:7" ht="12.75">
      <c r="A7" t="s">
        <v>4</v>
      </c>
      <c r="C7" s="4">
        <f>0.2*C6</f>
        <v>0</v>
      </c>
      <c r="D7" s="4">
        <f>0.2*D6</f>
        <v>0</v>
      </c>
      <c r="E7" s="4">
        <f>0.2*E6</f>
        <v>0</v>
      </c>
      <c r="F7" s="4">
        <f>0.2*F6</f>
        <v>370000</v>
      </c>
      <c r="G7" s="4">
        <f>0.2*G6</f>
        <v>0</v>
      </c>
    </row>
    <row r="8" spans="1:7" ht="12.75">
      <c r="A8" t="s">
        <v>5</v>
      </c>
      <c r="B8" s="5">
        <v>571800</v>
      </c>
      <c r="C8" s="5">
        <f>B8*1.025</f>
        <v>586095</v>
      </c>
      <c r="D8" s="5">
        <f>C8*1.025</f>
        <v>600747.375</v>
      </c>
      <c r="E8" s="5">
        <f>D8*1.025</f>
        <v>615766.059375</v>
      </c>
      <c r="F8" s="5">
        <f>E8*1.025</f>
        <v>631160.2108593748</v>
      </c>
      <c r="G8" s="5">
        <f>F8*1.025</f>
        <v>646939.2161308591</v>
      </c>
    </row>
    <row r="9" spans="1:7" ht="12.75">
      <c r="A9" t="s">
        <v>6</v>
      </c>
      <c r="C9" s="1">
        <f>C7/C8/12</f>
        <v>0</v>
      </c>
      <c r="D9" s="1">
        <f>D7/D8/12</f>
        <v>0</v>
      </c>
      <c r="E9" s="1">
        <f>E7/E8/12</f>
        <v>0</v>
      </c>
      <c r="F9" s="1">
        <f>F7/F8/12</f>
        <v>0.048851833184083794</v>
      </c>
      <c r="G9" s="1">
        <f>G7/G8/12</f>
        <v>0</v>
      </c>
    </row>
    <row r="11" spans="1:7" ht="12.75">
      <c r="A11" t="s">
        <v>73</v>
      </c>
      <c r="C11" s="2">
        <f>C9</f>
        <v>0</v>
      </c>
      <c r="D11" s="2">
        <f>D9</f>
        <v>0</v>
      </c>
      <c r="E11" s="2">
        <f>E9</f>
        <v>0</v>
      </c>
      <c r="F11" s="2">
        <f>F9</f>
        <v>0.048851833184083794</v>
      </c>
      <c r="G11" s="2">
        <f>G9</f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3.2489351920237786</v>
      </c>
      <c r="D15" s="2">
        <f>C3+D4+D5+D11+D13</f>
        <v>3.5129313242054763</v>
      </c>
      <c r="E15" s="2">
        <f>D3+E4+E5+E11+E13</f>
        <v>4.069442065788529</v>
      </c>
      <c r="F15" s="2">
        <f>E3+F4+F5+F11+F13</f>
        <v>4.124129651138173</v>
      </c>
      <c r="G15" s="2">
        <f>F3+G4+G5+G11+G13</f>
        <v>4.081364525387809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5" sqref="E15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4" width="11.28125" style="0" bestFit="1" customWidth="1"/>
    <col min="5" max="5" width="14.00390625" style="0" bestFit="1" customWidth="1"/>
    <col min="6" max="6" width="12.28125" style="0" bestFit="1" customWidth="1"/>
    <col min="7" max="7" width="10.28125" style="0" bestFit="1" customWidth="1"/>
  </cols>
  <sheetData>
    <row r="1" ht="12.75">
      <c r="A1" s="21" t="s">
        <v>44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0.935</v>
      </c>
      <c r="C3" s="2">
        <f>B3+C4+C5+C9</f>
        <v>0.913564478164059</v>
      </c>
      <c r="D3" s="2">
        <f>C3+D4+D5+D9</f>
        <v>0.9151944144104971</v>
      </c>
      <c r="E3" s="2">
        <f>D3+E4+E5+E9</f>
        <v>1.330315552342904</v>
      </c>
      <c r="F3" s="2">
        <f>E3+F4+F5+F9</f>
        <v>1.4039069654192888</v>
      </c>
      <c r="G3" s="2">
        <f>F3+G4+G5+G9</f>
        <v>1.3547702216296136</v>
      </c>
    </row>
    <row r="4" spans="1:7" ht="12.75">
      <c r="A4" t="s">
        <v>1</v>
      </c>
      <c r="C4" s="2">
        <f>-0.01*B3</f>
        <v>-0.00935</v>
      </c>
      <c r="D4" s="2">
        <f>-0.01*C3</f>
        <v>-0.009135644781640589</v>
      </c>
      <c r="E4" s="2">
        <f>-0.01*D3</f>
        <v>-0.009151944144104971</v>
      </c>
      <c r="F4" s="2">
        <f>-0.01*E3</f>
        <v>-0.01330315552342904</v>
      </c>
      <c r="G4" s="2">
        <f>-0.01*F3</f>
        <v>-0.014039069654192889</v>
      </c>
    </row>
    <row r="5" spans="1:7" ht="12.75">
      <c r="A5" t="s">
        <v>2</v>
      </c>
      <c r="C5" s="2">
        <f>-0.025*B3</f>
        <v>-0.023375000000000003</v>
      </c>
      <c r="D5" s="2">
        <f>-0.025*C3</f>
        <v>-0.022839111954101474</v>
      </c>
      <c r="E5" s="2">
        <f>-0.025*D3</f>
        <v>-0.02287986036026243</v>
      </c>
      <c r="F5" s="2">
        <f>-0.025*E3</f>
        <v>-0.033257888808572604</v>
      </c>
      <c r="G5" s="2">
        <f>-0.025*F3</f>
        <v>-0.035097674135482225</v>
      </c>
    </row>
    <row r="6" spans="1:7" ht="12.75">
      <c r="A6" t="s">
        <v>3</v>
      </c>
      <c r="B6" s="4"/>
      <c r="C6" s="6">
        <v>2442500</v>
      </c>
      <c r="D6" s="4">
        <v>7452200</v>
      </c>
      <c r="E6" s="4">
        <v>101639970</v>
      </c>
      <c r="F6" s="4">
        <v>27994000</v>
      </c>
      <c r="G6" s="4">
        <v>0</v>
      </c>
    </row>
    <row r="7" spans="1:7" ht="12.75">
      <c r="A7" t="s">
        <v>4</v>
      </c>
      <c r="C7" s="4">
        <f>0.2*C6</f>
        <v>488500</v>
      </c>
      <c r="D7" s="4">
        <f>0.2*D6</f>
        <v>1490440</v>
      </c>
      <c r="E7" s="4">
        <f>0.2*E6</f>
        <v>20327994</v>
      </c>
      <c r="F7" s="4">
        <f>0.2*F6</f>
        <v>5598800</v>
      </c>
      <c r="G7" s="4">
        <f>0.2*G6</f>
        <v>0</v>
      </c>
    </row>
    <row r="8" spans="1:7" ht="12.75">
      <c r="A8" t="s">
        <v>5</v>
      </c>
      <c r="B8" s="5">
        <v>3517917</v>
      </c>
      <c r="C8" s="5">
        <f>B8*1.025</f>
        <v>3605864.925</v>
      </c>
      <c r="D8" s="5">
        <f>C8*1.025</f>
        <v>3696011.5481249993</v>
      </c>
      <c r="E8" s="5">
        <f>D8*1.025</f>
        <v>3788411.836828124</v>
      </c>
      <c r="F8" s="5">
        <f>E8*1.025</f>
        <v>3883122.1327488264</v>
      </c>
      <c r="G8" s="5">
        <f>F8*1.025</f>
        <v>3980200.1860675467</v>
      </c>
    </row>
    <row r="9" spans="1:7" ht="12.75">
      <c r="A9" t="s">
        <v>6</v>
      </c>
      <c r="C9" s="1">
        <f>C7/C8/12</f>
        <v>0.011289478164058888</v>
      </c>
      <c r="D9" s="1">
        <f>D7/D8/12</f>
        <v>0.03360469298218025</v>
      </c>
      <c r="E9" s="1">
        <f>E7/E8/12</f>
        <v>0.44715294243677417</v>
      </c>
      <c r="F9" s="1">
        <f>F7/F8/12</f>
        <v>0.12015245740838659</v>
      </c>
      <c r="G9" s="1">
        <f>G7/G8/12</f>
        <v>0</v>
      </c>
    </row>
    <row r="11" spans="1:7" ht="12.75">
      <c r="A11" t="s">
        <v>73</v>
      </c>
      <c r="C11" s="2">
        <f>C9</f>
        <v>0.011289478164058888</v>
      </c>
      <c r="D11" s="2">
        <f>D9</f>
        <v>0.03360469298218025</v>
      </c>
      <c r="E11" s="23">
        <f>((E$6-61424500)*0.2)/(D$8*12)</f>
        <v>0.1813462497630338</v>
      </c>
      <c r="F11" s="23">
        <f>((F$6-19835000)*0.2)/(E$8*12)</f>
        <v>0.03589454874240558</v>
      </c>
      <c r="G11" s="2">
        <f>G9</f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1.1034496701878374</v>
      </c>
      <c r="D15" s="2">
        <f>C3+D4+D5+D11+D13</f>
        <v>1.4761424886159733</v>
      </c>
      <c r="E15" s="2">
        <f>D3+E4+E5+E11+E13</f>
        <v>2.2852870892076926</v>
      </c>
      <c r="F15" s="2">
        <f>E3+F4+F5+F11+F13</f>
        <v>2.645966272726146</v>
      </c>
      <c r="G15" s="2">
        <f>F3+G4+G5+G11+G13</f>
        <v>2.736245747082875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4" width="15.00390625" style="0" bestFit="1" customWidth="1"/>
    <col min="5" max="5" width="16.00390625" style="0" bestFit="1" customWidth="1"/>
    <col min="6" max="7" width="15.00390625" style="0" bestFit="1" customWidth="1"/>
  </cols>
  <sheetData>
    <row r="1" ht="12.75">
      <c r="A1" s="21" t="s">
        <v>80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1.765</v>
      </c>
      <c r="C3" s="2">
        <f>B3+C4+C5+C9</f>
        <v>1.79844765569036</v>
      </c>
      <c r="D3" s="2">
        <f>C3+D4+D5+D9</f>
        <v>1.8670389865398374</v>
      </c>
      <c r="E3" s="2">
        <f>D3+E4+E5+E9</f>
        <v>2.0219959442044235</v>
      </c>
      <c r="F3" s="2">
        <f>E3+F4+F5+F9</f>
        <v>1.9996057826196785</v>
      </c>
      <c r="G3" s="2">
        <f>F3+G4+G5+G9</f>
        <v>2.0061596405508526</v>
      </c>
    </row>
    <row r="4" spans="1:7" ht="12.75">
      <c r="A4" t="s">
        <v>1</v>
      </c>
      <c r="C4" s="2">
        <f>-0.01*B3</f>
        <v>-0.01765</v>
      </c>
      <c r="D4" s="2">
        <f>-0.01*C3</f>
        <v>-0.0179844765569036</v>
      </c>
      <c r="E4" s="2">
        <f>-0.01*D3</f>
        <v>-0.018670389865398374</v>
      </c>
      <c r="F4" s="2">
        <f>-0.01*E3</f>
        <v>-0.020219959442044237</v>
      </c>
      <c r="G4" s="2">
        <f>-0.01*F3</f>
        <v>-0.019996057826196786</v>
      </c>
    </row>
    <row r="5" spans="1:7" ht="12.75">
      <c r="A5" t="s">
        <v>2</v>
      </c>
      <c r="C5" s="2">
        <f>-0.025*B3</f>
        <v>-0.044125</v>
      </c>
      <c r="D5" s="2">
        <f>-0.025*C3</f>
        <v>-0.044961191392259</v>
      </c>
      <c r="E5" s="2">
        <f>-0.025*D3</f>
        <v>-0.046675974663495934</v>
      </c>
      <c r="F5" s="2">
        <f>-0.025*E3</f>
        <v>-0.05054989860511059</v>
      </c>
      <c r="G5" s="2">
        <f>-0.025*F3</f>
        <v>-0.049990144565491966</v>
      </c>
    </row>
    <row r="6" spans="1:7" ht="12.75">
      <c r="A6" t="s">
        <v>3</v>
      </c>
      <c r="B6" s="1"/>
      <c r="C6" s="6">
        <v>54100000</v>
      </c>
      <c r="D6" s="4">
        <v>76600000</v>
      </c>
      <c r="E6" s="4">
        <v>131500000</v>
      </c>
      <c r="F6" s="4">
        <v>29600000</v>
      </c>
      <c r="G6" s="4">
        <v>48000000</v>
      </c>
    </row>
    <row r="7" spans="1:7" ht="12.75">
      <c r="A7" t="s">
        <v>4</v>
      </c>
      <c r="C7" s="4">
        <f>0.2*C6</f>
        <v>10820000</v>
      </c>
      <c r="D7" s="4">
        <f>0.2*D6</f>
        <v>15320000</v>
      </c>
      <c r="E7" s="4">
        <f>0.2*E6</f>
        <v>26300000</v>
      </c>
      <c r="F7" s="4">
        <f>0.2*F6</f>
        <v>5920000</v>
      </c>
      <c r="G7" s="4">
        <f>0.2*G6</f>
        <v>9600000</v>
      </c>
    </row>
    <row r="8" spans="1:7" ht="12.75">
      <c r="A8" t="s">
        <v>5</v>
      </c>
      <c r="B8" s="5">
        <v>9238083</v>
      </c>
      <c r="C8" s="5">
        <f>B8*1.025</f>
        <v>9469035.075</v>
      </c>
      <c r="D8" s="5">
        <f>C8*1.025</f>
        <v>9705760.951874997</v>
      </c>
      <c r="E8" s="5">
        <f>D8*1.025</f>
        <v>9948404.97567187</v>
      </c>
      <c r="F8" s="5">
        <f>E8*1.025</f>
        <v>10197115.100063667</v>
      </c>
      <c r="G8" s="5">
        <f>F8*1.025</f>
        <v>10452042.977565257</v>
      </c>
    </row>
    <row r="9" spans="1:7" ht="12.75">
      <c r="A9" t="s">
        <v>6</v>
      </c>
      <c r="C9" s="1">
        <f>C7/C8/12</f>
        <v>0.09522265569035997</v>
      </c>
      <c r="D9" s="1">
        <f>D7/D8/12</f>
        <v>0.1315369987986398</v>
      </c>
      <c r="E9" s="1">
        <f>E7/E8/12</f>
        <v>0.2203033221934807</v>
      </c>
      <c r="F9" s="1">
        <f>F7/F8/12</f>
        <v>0.04837969646240956</v>
      </c>
      <c r="G9" s="1">
        <f>G7/G8/12</f>
        <v>0.07654006032286287</v>
      </c>
    </row>
    <row r="11" spans="1:7" ht="12.75">
      <c r="A11" t="s">
        <v>73</v>
      </c>
      <c r="C11" s="1">
        <f>((C$6-18500000)*0.2)/(B$8*12)</f>
        <v>0.06422688920778621</v>
      </c>
      <c r="D11" s="1">
        <f>((D$6-18000000)*0.2)/(C$8*12)</f>
        <v>0.10314320930600912</v>
      </c>
      <c r="E11" s="1">
        <f>((E$6-96000000)*0.2)/(D$8*12)</f>
        <v>0.06096035845106675</v>
      </c>
      <c r="F11" s="1">
        <f>((F$6-26800000)*0.2)/(E$8*12)</f>
        <v>0.004690869217807954</v>
      </c>
      <c r="G11" s="1">
        <f>((G$6-24000000)*0.2)/(F$8*12)</f>
        <v>0.03922678091546721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1.9573370812315645</v>
      </c>
      <c r="D15" s="2">
        <f>C3+D4+D5+D11+D13</f>
        <v>2.399593271252683</v>
      </c>
      <c r="E15" s="2">
        <f>D3+E4+E5+E11+E13</f>
        <v>3.0834312100005388</v>
      </c>
      <c r="F15" s="2">
        <f>E3+F4+F5+F11+F13</f>
        <v>3.2822341713479153</v>
      </c>
      <c r="G15" s="2">
        <f>F3+G4+G5+G11+G13</f>
        <v>3.350321886596718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11" sqref="F11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4" width="11.28125" style="0" customWidth="1"/>
    <col min="5" max="5" width="10.28125" style="0" bestFit="1" customWidth="1"/>
    <col min="6" max="7" width="11.28125" style="0" bestFit="1" customWidth="1"/>
    <col min="8" max="8" width="10.28125" style="0" bestFit="1" customWidth="1"/>
    <col min="9" max="9" width="11.28125" style="0" customWidth="1"/>
  </cols>
  <sheetData>
    <row r="1" ht="12.75">
      <c r="A1" s="21" t="s">
        <v>84</v>
      </c>
    </row>
    <row r="2" spans="2:9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</row>
    <row r="3" spans="1:9" ht="12.75">
      <c r="A3" t="s">
        <v>0</v>
      </c>
      <c r="B3" s="1">
        <v>0.729</v>
      </c>
      <c r="C3" s="2">
        <f aca="true" t="shared" si="0" ref="C3:I3">B3+C4+C5+C9</f>
        <v>0.7136727987429474</v>
      </c>
      <c r="D3" s="2">
        <f t="shared" si="0"/>
        <v>0.7141987940540332</v>
      </c>
      <c r="E3" s="2">
        <f t="shared" si="0"/>
        <v>0.689201836262142</v>
      </c>
      <c r="F3" s="2">
        <f t="shared" si="0"/>
        <v>0.6650797719929671</v>
      </c>
      <c r="G3" s="2">
        <f t="shared" si="0"/>
        <v>0.6418019799732132</v>
      </c>
      <c r="H3" s="2">
        <f t="shared" si="0"/>
        <v>0.6193389106741508</v>
      </c>
      <c r="I3" s="2">
        <f t="shared" si="0"/>
        <v>0.6221704686219195</v>
      </c>
    </row>
    <row r="4" spans="1:9" ht="12.75">
      <c r="A4" t="s">
        <v>1</v>
      </c>
      <c r="C4" s="2">
        <f aca="true" t="shared" si="1" ref="C4:I4">-0.01*B3</f>
        <v>-0.00729</v>
      </c>
      <c r="D4" s="2">
        <f t="shared" si="1"/>
        <v>-0.007136727987429474</v>
      </c>
      <c r="E4" s="2">
        <f t="shared" si="1"/>
        <v>-0.007141987940540332</v>
      </c>
      <c r="F4" s="2">
        <f t="shared" si="1"/>
        <v>-0.0068920183626214205</v>
      </c>
      <c r="G4" s="2">
        <f t="shared" si="1"/>
        <v>-0.006650797719929671</v>
      </c>
      <c r="H4" s="2">
        <f t="shared" si="1"/>
        <v>-0.006418019799732132</v>
      </c>
      <c r="I4" s="2">
        <f t="shared" si="1"/>
        <v>-0.0061933891067415085</v>
      </c>
    </row>
    <row r="5" spans="1:9" ht="12.75">
      <c r="A5" t="s">
        <v>2</v>
      </c>
      <c r="C5" s="2">
        <f aca="true" t="shared" si="2" ref="C5:I5">-0.025*B3</f>
        <v>-0.018225</v>
      </c>
      <c r="D5" s="2">
        <f t="shared" si="2"/>
        <v>-0.017841819968573685</v>
      </c>
      <c r="E5" s="2">
        <f t="shared" si="2"/>
        <v>-0.017854969851350832</v>
      </c>
      <c r="F5" s="2">
        <f t="shared" si="2"/>
        <v>-0.01723004590655355</v>
      </c>
      <c r="G5" s="2">
        <f t="shared" si="2"/>
        <v>-0.01662699429982418</v>
      </c>
      <c r="H5" s="2">
        <f t="shared" si="2"/>
        <v>-0.01604504949933033</v>
      </c>
      <c r="I5" s="2">
        <f t="shared" si="2"/>
        <v>-0.015483472766853771</v>
      </c>
    </row>
    <row r="6" spans="1:9" ht="12.75">
      <c r="A6" t="s">
        <v>3</v>
      </c>
      <c r="B6" s="1"/>
      <c r="C6" s="6">
        <v>1613000</v>
      </c>
      <c r="D6" s="4">
        <v>4139000</v>
      </c>
      <c r="E6" s="1"/>
      <c r="F6" s="1"/>
      <c r="G6" s="1"/>
      <c r="H6" s="1"/>
      <c r="I6" s="4">
        <v>4500000</v>
      </c>
    </row>
    <row r="7" spans="1:9" ht="12.75">
      <c r="A7" t="s">
        <v>4</v>
      </c>
      <c r="C7" s="4">
        <f aca="true" t="shared" si="3" ref="C7:I7">0.2*C6</f>
        <v>322600</v>
      </c>
      <c r="D7" s="4">
        <f t="shared" si="3"/>
        <v>827800</v>
      </c>
      <c r="E7" s="4">
        <f t="shared" si="3"/>
        <v>0</v>
      </c>
      <c r="F7" s="4">
        <f t="shared" si="3"/>
        <v>0</v>
      </c>
      <c r="G7" s="4">
        <f t="shared" si="3"/>
        <v>0</v>
      </c>
      <c r="H7" s="4">
        <f t="shared" si="3"/>
        <v>0</v>
      </c>
      <c r="I7" s="4">
        <f t="shared" si="3"/>
        <v>900000</v>
      </c>
    </row>
    <row r="8" spans="1:9" ht="12.75">
      <c r="A8" t="s">
        <v>5</v>
      </c>
      <c r="B8" s="5">
        <v>2574417</v>
      </c>
      <c r="C8" s="5">
        <f aca="true" t="shared" si="4" ref="C8:I8">B8*1.025</f>
        <v>2638777.425</v>
      </c>
      <c r="D8" s="5">
        <f t="shared" si="4"/>
        <v>2704746.8606249997</v>
      </c>
      <c r="E8" s="5">
        <f t="shared" si="4"/>
        <v>2772365.5321406247</v>
      </c>
      <c r="F8" s="5">
        <f t="shared" si="4"/>
        <v>2841674.67044414</v>
      </c>
      <c r="G8" s="5">
        <f t="shared" si="4"/>
        <v>2912716.5372052435</v>
      </c>
      <c r="H8" s="5">
        <f t="shared" si="4"/>
        <v>2985534.4506353745</v>
      </c>
      <c r="I8" s="5">
        <f t="shared" si="4"/>
        <v>3060172.811901259</v>
      </c>
    </row>
    <row r="9" spans="1:9" ht="12.75">
      <c r="A9" t="s">
        <v>6</v>
      </c>
      <c r="C9" s="1">
        <f aca="true" t="shared" si="5" ref="C9:I9">C7/C8/12</f>
        <v>0.010187798742947536</v>
      </c>
      <c r="D9" s="1">
        <f t="shared" si="5"/>
        <v>0.025504543267088956</v>
      </c>
      <c r="E9" s="1">
        <f t="shared" si="5"/>
        <v>0</v>
      </c>
      <c r="F9" s="1">
        <f t="shared" si="5"/>
        <v>0</v>
      </c>
      <c r="G9" s="1">
        <f t="shared" si="5"/>
        <v>0</v>
      </c>
      <c r="H9" s="1">
        <f t="shared" si="5"/>
        <v>0</v>
      </c>
      <c r="I9" s="1">
        <f t="shared" si="5"/>
        <v>0.024508419821363994</v>
      </c>
    </row>
    <row r="11" spans="1:9" ht="12.75">
      <c r="A11" t="s">
        <v>73</v>
      </c>
      <c r="C11" s="2">
        <f aca="true" t="shared" si="6" ref="C11:I11">C9</f>
        <v>0.010187798742947536</v>
      </c>
      <c r="D11" s="2">
        <f t="shared" si="6"/>
        <v>0.025504543267088956</v>
      </c>
      <c r="E11" s="2">
        <f t="shared" si="6"/>
        <v>0</v>
      </c>
      <c r="F11" s="2">
        <f t="shared" si="6"/>
        <v>0</v>
      </c>
      <c r="G11" s="2">
        <f t="shared" si="6"/>
        <v>0</v>
      </c>
      <c r="H11" s="2">
        <f t="shared" si="6"/>
        <v>0</v>
      </c>
      <c r="I11" s="2">
        <f t="shared" si="6"/>
        <v>0.024508419821363994</v>
      </c>
    </row>
    <row r="13" spans="1:9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  <c r="H13" s="2">
        <f>PostageStamp!H33</f>
        <v>1.8999674408235259</v>
      </c>
      <c r="I13" s="2">
        <f>PostageStamp!I33</f>
        <v>2.0843524971327185</v>
      </c>
    </row>
    <row r="15" spans="1:9" ht="12.75">
      <c r="A15" t="s">
        <v>76</v>
      </c>
      <c r="C15" s="2">
        <f aca="true" t="shared" si="7" ref="C15:I15">B3+C4+C5+C11+C13</f>
        <v>0.9035579907667258</v>
      </c>
      <c r="D15" s="2">
        <f t="shared" si="7"/>
        <v>1.2751468682595093</v>
      </c>
      <c r="E15" s="2">
        <f t="shared" si="7"/>
        <v>1.9099800658006711</v>
      </c>
      <c r="F15" s="2">
        <f t="shared" si="7"/>
        <v>1.9913969879658053</v>
      </c>
      <c r="G15" s="2">
        <f t="shared" si="7"/>
        <v>2.0232775054264747</v>
      </c>
      <c r="H15" s="2">
        <f t="shared" si="7"/>
        <v>2.5193063514976766</v>
      </c>
      <c r="I15" s="2">
        <f t="shared" si="7"/>
        <v>2.706522965754638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E11" sqref="E11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7" width="12.28125" style="0" bestFit="1" customWidth="1"/>
    <col min="8" max="8" width="16.00390625" style="0" bestFit="1" customWidth="1"/>
    <col min="9" max="9" width="15.00390625" style="0" bestFit="1" customWidth="1"/>
    <col min="10" max="10" width="12.28125" style="0" customWidth="1"/>
    <col min="11" max="11" width="10.28125" style="0" bestFit="1" customWidth="1"/>
    <col min="12" max="12" width="14.00390625" style="0" bestFit="1" customWidth="1"/>
  </cols>
  <sheetData>
    <row r="1" ht="12.75">
      <c r="A1" s="21" t="s">
        <v>83</v>
      </c>
    </row>
    <row r="2" spans="2:12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</row>
    <row r="3" spans="1:12" ht="12.75">
      <c r="A3" t="s">
        <v>0</v>
      </c>
      <c r="B3" s="1">
        <v>1.694</v>
      </c>
      <c r="C3" s="2">
        <f aca="true" t="shared" si="0" ref="C3:L3">B3+C4+C5+C9</f>
        <v>1.6664306263469928</v>
      </c>
      <c r="D3" s="2">
        <f t="shared" si="0"/>
        <v>1.6751041574178198</v>
      </c>
      <c r="E3" s="2">
        <f t="shared" si="0"/>
        <v>1.6560125907403023</v>
      </c>
      <c r="F3" s="2">
        <f t="shared" si="0"/>
        <v>1.6521600995331926</v>
      </c>
      <c r="G3" s="2">
        <f t="shared" si="0"/>
        <v>1.64152969443239</v>
      </c>
      <c r="H3" s="2">
        <f t="shared" si="0"/>
        <v>1.7901275236082097</v>
      </c>
      <c r="I3" s="2">
        <f t="shared" si="0"/>
        <v>1.7737732851688293</v>
      </c>
      <c r="J3" s="2">
        <f t="shared" si="0"/>
        <v>1.7563816292640213</v>
      </c>
      <c r="K3" s="2">
        <f t="shared" si="0"/>
        <v>1.6949082722397806</v>
      </c>
      <c r="L3" s="2">
        <f t="shared" si="0"/>
        <v>1.6447342192125445</v>
      </c>
    </row>
    <row r="4" spans="1:12" ht="12.75">
      <c r="A4" t="s">
        <v>1</v>
      </c>
      <c r="C4" s="2">
        <f aca="true" t="shared" si="1" ref="C4:L4">-0.01*B3</f>
        <v>-0.01694</v>
      </c>
      <c r="D4" s="2">
        <f t="shared" si="1"/>
        <v>-0.016664306263469927</v>
      </c>
      <c r="E4" s="2">
        <f t="shared" si="1"/>
        <v>-0.0167510415741782</v>
      </c>
      <c r="F4" s="2">
        <f t="shared" si="1"/>
        <v>-0.016560125907403023</v>
      </c>
      <c r="G4" s="2">
        <f t="shared" si="1"/>
        <v>-0.016521600995331925</v>
      </c>
      <c r="H4" s="2">
        <f t="shared" si="1"/>
        <v>-0.0164152969443239</v>
      </c>
      <c r="I4" s="2">
        <f t="shared" si="1"/>
        <v>-0.017901275236082096</v>
      </c>
      <c r="J4" s="2">
        <f t="shared" si="1"/>
        <v>-0.017737732851688292</v>
      </c>
      <c r="K4" s="2">
        <f t="shared" si="1"/>
        <v>-0.017563816292640214</v>
      </c>
      <c r="L4" s="2">
        <f t="shared" si="1"/>
        <v>-0.016949082722397806</v>
      </c>
    </row>
    <row r="5" spans="1:12" ht="12.75">
      <c r="A5" t="s">
        <v>2</v>
      </c>
      <c r="C5" s="2">
        <f aca="true" t="shared" si="2" ref="C5:L5">-0.025*B3</f>
        <v>-0.04235</v>
      </c>
      <c r="D5" s="2">
        <f t="shared" si="2"/>
        <v>-0.041660765658674825</v>
      </c>
      <c r="E5" s="2">
        <f t="shared" si="2"/>
        <v>-0.0418776039354455</v>
      </c>
      <c r="F5" s="2">
        <f t="shared" si="2"/>
        <v>-0.04140031476850756</v>
      </c>
      <c r="G5" s="2">
        <f t="shared" si="2"/>
        <v>-0.04130400248832982</v>
      </c>
      <c r="H5" s="2">
        <f t="shared" si="2"/>
        <v>-0.04103824236080975</v>
      </c>
      <c r="I5" s="2">
        <f t="shared" si="2"/>
        <v>-0.044753188090205245</v>
      </c>
      <c r="J5" s="2">
        <f t="shared" si="2"/>
        <v>-0.04434433212922073</v>
      </c>
      <c r="K5" s="2">
        <f t="shared" si="2"/>
        <v>-0.043909540731600534</v>
      </c>
      <c r="L5" s="2">
        <f t="shared" si="2"/>
        <v>-0.04237270680599452</v>
      </c>
    </row>
    <row r="6" spans="1:12" ht="12.75">
      <c r="A6" t="s">
        <v>3</v>
      </c>
      <c r="B6" s="1"/>
      <c r="C6" s="6">
        <v>13883000</v>
      </c>
      <c r="D6" s="4">
        <v>30056000</v>
      </c>
      <c r="E6" s="4">
        <v>18180000</v>
      </c>
      <c r="F6" s="4">
        <v>25502000</v>
      </c>
      <c r="G6" s="4">
        <v>22800000</v>
      </c>
      <c r="H6" s="6">
        <v>102032000</v>
      </c>
      <c r="I6" s="6">
        <v>23500000</v>
      </c>
      <c r="J6" s="6">
        <v>23250000</v>
      </c>
      <c r="K6" s="6">
        <v>0</v>
      </c>
      <c r="L6" s="6">
        <v>5000000</v>
      </c>
    </row>
    <row r="7" spans="1:12" ht="12.75">
      <c r="A7" t="s">
        <v>4</v>
      </c>
      <c r="C7" s="4">
        <f aca="true" t="shared" si="3" ref="C7:L7">0.2*C6</f>
        <v>2776600</v>
      </c>
      <c r="D7" s="4">
        <f t="shared" si="3"/>
        <v>6011200</v>
      </c>
      <c r="E7" s="4">
        <f t="shared" si="3"/>
        <v>3636000</v>
      </c>
      <c r="F7" s="4">
        <f t="shared" si="3"/>
        <v>5100400</v>
      </c>
      <c r="G7" s="4">
        <f t="shared" si="3"/>
        <v>4560000</v>
      </c>
      <c r="H7" s="4">
        <f t="shared" si="3"/>
        <v>20406400</v>
      </c>
      <c r="I7" s="4">
        <f t="shared" si="3"/>
        <v>4700000</v>
      </c>
      <c r="J7" s="4">
        <f t="shared" si="3"/>
        <v>4650000</v>
      </c>
      <c r="K7" s="4">
        <f t="shared" si="3"/>
        <v>0</v>
      </c>
      <c r="L7" s="4">
        <f t="shared" si="3"/>
        <v>1000000</v>
      </c>
    </row>
    <row r="8" spans="1:12" ht="12.75">
      <c r="A8" t="s">
        <v>5</v>
      </c>
      <c r="B8" s="5">
        <v>7116500</v>
      </c>
      <c r="C8" s="5">
        <f aca="true" t="shared" si="4" ref="C8:L8">B8*1.025</f>
        <v>7294412.499999999</v>
      </c>
      <c r="D8" s="5">
        <f t="shared" si="4"/>
        <v>7476772.812499998</v>
      </c>
      <c r="E8" s="5">
        <f t="shared" si="4"/>
        <v>7663692.132812497</v>
      </c>
      <c r="F8" s="5">
        <f t="shared" si="4"/>
        <v>7855284.436132809</v>
      </c>
      <c r="G8" s="5">
        <f t="shared" si="4"/>
        <v>8051666.547036129</v>
      </c>
      <c r="H8" s="5">
        <f t="shared" si="4"/>
        <v>8252958.210712031</v>
      </c>
      <c r="I8" s="5">
        <f t="shared" si="4"/>
        <v>8459282.165979832</v>
      </c>
      <c r="J8" s="5">
        <f t="shared" si="4"/>
        <v>8670764.220129328</v>
      </c>
      <c r="K8" s="5">
        <f t="shared" si="4"/>
        <v>8887533.325632561</v>
      </c>
      <c r="L8" s="5">
        <f t="shared" si="4"/>
        <v>9109721.658773374</v>
      </c>
    </row>
    <row r="9" spans="1:12" ht="12.75">
      <c r="A9" t="s">
        <v>6</v>
      </c>
      <c r="C9" s="1">
        <f aca="true" t="shared" si="5" ref="C9:L9">C7/C8/12</f>
        <v>0.03172062634699276</v>
      </c>
      <c r="D9" s="1">
        <f t="shared" si="5"/>
        <v>0.0669986029929719</v>
      </c>
      <c r="E9" s="1">
        <f t="shared" si="5"/>
        <v>0.03953707883210623</v>
      </c>
      <c r="F9" s="1">
        <f t="shared" si="5"/>
        <v>0.05410794946880104</v>
      </c>
      <c r="G9" s="1">
        <f t="shared" si="5"/>
        <v>0.04719519838285907</v>
      </c>
      <c r="H9" s="1">
        <f t="shared" si="5"/>
        <v>0.20605136848095326</v>
      </c>
      <c r="I9" s="1">
        <f t="shared" si="5"/>
        <v>0.04630022488690685</v>
      </c>
      <c r="J9" s="1">
        <f t="shared" si="5"/>
        <v>0.044690409076101056</v>
      </c>
      <c r="K9" s="1">
        <f t="shared" si="5"/>
        <v>0</v>
      </c>
      <c r="L9" s="1">
        <f t="shared" si="5"/>
        <v>0.009147736501156084</v>
      </c>
    </row>
    <row r="11" spans="1:9" ht="12.75">
      <c r="A11" t="s">
        <v>73</v>
      </c>
      <c r="C11" s="1">
        <f>((C$6-8673000)*0.2)/(C$8*12)</f>
        <v>0.011904088688888015</v>
      </c>
      <c r="D11" s="1">
        <f>((D$6-22044000)*0.2)/(D$8*12)</f>
        <v>0.01785975536264609</v>
      </c>
      <c r="E11" s="1">
        <f>((E$6-9670000)*0.2)/(E$8*12)</f>
        <v>0.01850718046541386</v>
      </c>
      <c r="F11" s="1">
        <f>((F$6-9742000)*0.2)/(F$8*12)</f>
        <v>0.03343821204722392</v>
      </c>
      <c r="G11" s="1">
        <f>((G$6-10000000)*0.2)/(G$8*12)</f>
        <v>0.026495549969324392</v>
      </c>
      <c r="H11" s="1">
        <f>((H$6-87132000)*0.2)/(H$8*12)</f>
        <v>0.030090220620650414</v>
      </c>
      <c r="I11" s="1">
        <f>((I$6-23500000)*0.2)/(I$8*12)</f>
        <v>0</v>
      </c>
    </row>
    <row r="13" spans="1:10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  <c r="H13" s="2">
        <f>PostageStamp!H33</f>
        <v>1.8999674408235259</v>
      </c>
      <c r="I13" s="2">
        <f>PostageStamp!I33</f>
        <v>2.0843524971327185</v>
      </c>
      <c r="J13" s="2">
        <f>PostageStamp!J33</f>
        <v>0</v>
      </c>
    </row>
    <row r="15" spans="1:9" ht="12.75">
      <c r="A15" t="s">
        <v>76</v>
      </c>
      <c r="C15" s="2">
        <f>B3+C4+C5+C11+C13</f>
        <v>1.8364992807126663</v>
      </c>
      <c r="D15" s="2">
        <f aca="true" t="shared" si="6" ref="D15:I15">C3+D4+D5+D11+D13</f>
        <v>2.18691338399297</v>
      </c>
      <c r="E15" s="2">
        <f t="shared" si="6"/>
        <v>2.8557609219121387</v>
      </c>
      <c r="F15" s="2">
        <f t="shared" si="6"/>
        <v>2.957807578084454</v>
      </c>
      <c r="G15" s="2">
        <f t="shared" si="6"/>
        <v>3.0023055714721165</v>
      </c>
      <c r="H15" s="2">
        <f t="shared" si="6"/>
        <v>3.514133816571433</v>
      </c>
      <c r="I15" s="2">
        <f t="shared" si="6"/>
        <v>3.811825557414641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4" sqref="E14"/>
    </sheetView>
  </sheetViews>
  <sheetFormatPr defaultColWidth="9.140625" defaultRowHeight="12.75"/>
  <cols>
    <col min="1" max="1" width="22.140625" style="0" bestFit="1" customWidth="1"/>
    <col min="2" max="4" width="10.28125" style="0" bestFit="1" customWidth="1"/>
    <col min="5" max="5" width="12.28125" style="0" bestFit="1" customWidth="1"/>
    <col min="6" max="6" width="11.28125" style="0" bestFit="1" customWidth="1"/>
    <col min="7" max="7" width="15.00390625" style="0" bestFit="1" customWidth="1"/>
  </cols>
  <sheetData>
    <row r="1" ht="12.75">
      <c r="A1" s="21" t="s">
        <v>37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1.456</v>
      </c>
      <c r="C3" s="2">
        <f>B3+C4+C5+C9</f>
        <v>1.40504</v>
      </c>
      <c r="D3" s="2">
        <f>C3+D4+D5+D9</f>
        <v>1.3558636000000002</v>
      </c>
      <c r="E3" s="2">
        <f>D3+E4+E5+E9</f>
        <v>1.6841981438856868</v>
      </c>
      <c r="F3" s="2">
        <f>E3+F4+F5+F9</f>
        <v>1.7026919628278063</v>
      </c>
      <c r="G3" s="2">
        <f>F3+G4+G5+G9</f>
        <v>1.9908299248434638</v>
      </c>
    </row>
    <row r="4" spans="1:7" ht="12.75">
      <c r="A4" t="s">
        <v>1</v>
      </c>
      <c r="C4" s="2">
        <f>-0.01*B3</f>
        <v>-0.01456</v>
      </c>
      <c r="D4" s="2">
        <f>-0.01*C3</f>
        <v>-0.014050400000000001</v>
      </c>
      <c r="E4" s="2">
        <f>-0.01*D3</f>
        <v>-0.013558636000000002</v>
      </c>
      <c r="F4" s="2">
        <f>-0.01*E3</f>
        <v>-0.01684198143885687</v>
      </c>
      <c r="G4" s="2">
        <f>-0.01*F3</f>
        <v>-0.017026919628278063</v>
      </c>
    </row>
    <row r="5" spans="1:7" ht="12.75">
      <c r="A5" t="s">
        <v>2</v>
      </c>
      <c r="C5" s="2">
        <f>-0.025*B3</f>
        <v>-0.0364</v>
      </c>
      <c r="D5" s="2">
        <f>-0.025*C3</f>
        <v>-0.035126000000000004</v>
      </c>
      <c r="E5" s="2">
        <f>-0.025*D3</f>
        <v>-0.033896590000000004</v>
      </c>
      <c r="F5" s="2">
        <f>-0.025*E3</f>
        <v>-0.04210495359714217</v>
      </c>
      <c r="G5" s="2">
        <f>-0.025*F3</f>
        <v>-0.04256729907069516</v>
      </c>
    </row>
    <row r="6" spans="1:7" ht="12.75">
      <c r="A6" t="s">
        <v>3</v>
      </c>
      <c r="B6" s="4"/>
      <c r="C6" s="6">
        <v>0</v>
      </c>
      <c r="D6" s="4">
        <v>0</v>
      </c>
      <c r="E6" s="4">
        <v>40814000</v>
      </c>
      <c r="F6" s="4">
        <v>8621000</v>
      </c>
      <c r="G6" s="4">
        <f>35963293+3715351</f>
        <v>39678644</v>
      </c>
    </row>
    <row r="7" spans="1:7" ht="12.75">
      <c r="A7" t="s">
        <v>4</v>
      </c>
      <c r="C7" s="4">
        <f>0.2*C6</f>
        <v>0</v>
      </c>
      <c r="D7" s="4">
        <f>0.2*D6</f>
        <v>0</v>
      </c>
      <c r="E7" s="4">
        <f>0.2*E6</f>
        <v>8162800</v>
      </c>
      <c r="F7" s="4">
        <f>0.2*F6</f>
        <v>1724200</v>
      </c>
      <c r="G7" s="4">
        <f>0.2*G6</f>
        <v>7935728.800000001</v>
      </c>
    </row>
    <row r="8" spans="1:7" ht="12.75">
      <c r="A8" t="s">
        <v>5</v>
      </c>
      <c r="B8" s="5">
        <v>1680898</v>
      </c>
      <c r="C8" s="5">
        <f>B8*1.025</f>
        <v>1722920.45</v>
      </c>
      <c r="D8" s="5">
        <f>C8*1.025</f>
        <v>1765993.4612499997</v>
      </c>
      <c r="E8" s="5">
        <f>D8*1.025</f>
        <v>1810143.2977812495</v>
      </c>
      <c r="F8" s="5">
        <f>E8*1.025</f>
        <v>1855396.8802257807</v>
      </c>
      <c r="G8" s="5">
        <f>F8*1.025</f>
        <v>1901781.802231425</v>
      </c>
    </row>
    <row r="9" spans="1:7" ht="12.75">
      <c r="A9" t="s">
        <v>6</v>
      </c>
      <c r="C9" s="1">
        <f>C7/C8/12</f>
        <v>0</v>
      </c>
      <c r="D9" s="1">
        <f>D7/D8/12</f>
        <v>0</v>
      </c>
      <c r="E9" s="1">
        <f>E7/E8/12</f>
        <v>0.37578976988568646</v>
      </c>
      <c r="F9" s="1">
        <f>F7/F8/12</f>
        <v>0.07744075397811853</v>
      </c>
      <c r="G9" s="1">
        <f>G7/G8/12</f>
        <v>0.34773218071463047</v>
      </c>
    </row>
    <row r="11" ht="12.75">
      <c r="A11" s="19" t="s">
        <v>34</v>
      </c>
    </row>
    <row r="12" ht="12.75">
      <c r="A12" s="19" t="s">
        <v>38</v>
      </c>
    </row>
    <row r="14" spans="1:7" ht="12.75">
      <c r="A14" t="s">
        <v>73</v>
      </c>
      <c r="C14" s="2">
        <f>C9</f>
        <v>0</v>
      </c>
      <c r="D14" s="2">
        <f>D9</f>
        <v>0</v>
      </c>
      <c r="E14" s="2">
        <f>((E6-10400000)*0.2)/(D8*12)</f>
        <v>0.28703390534708306</v>
      </c>
      <c r="F14" s="2">
        <f>F9</f>
        <v>0.07744075397811853</v>
      </c>
      <c r="G14" s="2">
        <f>G9</f>
        <v>0.34773218071463047</v>
      </c>
    </row>
    <row r="16" spans="1:7" ht="12.75">
      <c r="A16" t="s">
        <v>79</v>
      </c>
      <c r="C16" s="2">
        <f>PostageStamp!C33</f>
        <v>0.18988519202377838</v>
      </c>
      <c r="D16" s="2">
        <f>PostageStamp!D33</f>
        <v>0.5609480742054761</v>
      </c>
      <c r="E16" s="2">
        <f>PostageStamp!E33</f>
        <v>1.2207782295385292</v>
      </c>
      <c r="F16" s="2">
        <f>PostageStamp!F33</f>
        <v>1.3263172159728382</v>
      </c>
      <c r="G16" s="2">
        <f>PostageStamp!G33</f>
        <v>1.3814755254532614</v>
      </c>
    </row>
    <row r="18" spans="1:7" ht="12.75">
      <c r="A18" t="s">
        <v>76</v>
      </c>
      <c r="C18" s="2">
        <f>B3+C4+C5+C9+C14+C16</f>
        <v>1.5949251920237784</v>
      </c>
      <c r="D18" s="2">
        <f>C3+D4+D5+D9+D14+D16</f>
        <v>1.9168116742054764</v>
      </c>
      <c r="E18" s="2">
        <f>D3+E4+E5+E9+E14+E16</f>
        <v>3.192010278771299</v>
      </c>
      <c r="F18" s="2">
        <f>E3+F4+F5+F9+F14+F16</f>
        <v>3.106449932778763</v>
      </c>
      <c r="G18" s="2">
        <f>F3+G4+G5+G9+G14+G16</f>
        <v>3.7200376310113556</v>
      </c>
    </row>
    <row r="20" ht="12.75">
      <c r="A20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1" sqref="D11"/>
    </sheetView>
  </sheetViews>
  <sheetFormatPr defaultColWidth="9.140625" defaultRowHeight="12.75"/>
  <cols>
    <col min="1" max="1" width="22.140625" style="0" bestFit="1" customWidth="1"/>
    <col min="2" max="3" width="10.28125" style="0" bestFit="1" customWidth="1"/>
    <col min="4" max="4" width="12.28125" style="0" bestFit="1" customWidth="1"/>
    <col min="5" max="5" width="10.28125" style="0" bestFit="1" customWidth="1"/>
    <col min="6" max="6" width="14.00390625" style="0" bestFit="1" customWidth="1"/>
    <col min="7" max="7" width="10.28125" style="0" bestFit="1" customWidth="1"/>
  </cols>
  <sheetData>
    <row r="1" ht="12.75">
      <c r="A1" s="21" t="s">
        <v>24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2.867</v>
      </c>
      <c r="C3" s="2">
        <f>B3+C4+C5+C9</f>
        <v>2.766655</v>
      </c>
      <c r="D3" s="2">
        <f>C3+D4+D5+D9</f>
        <v>2.6802299833011753</v>
      </c>
      <c r="E3" s="2">
        <f>D3+E4+E5+E9</f>
        <v>2.5864219338856342</v>
      </c>
      <c r="F3" s="2">
        <f>E3+F4+F5+F9</f>
        <v>2.6749218604884857</v>
      </c>
      <c r="G3" s="2">
        <f>F3+G4+G5+G9</f>
        <v>2.5812995953713886</v>
      </c>
    </row>
    <row r="4" spans="1:7" ht="12.75">
      <c r="A4" t="s">
        <v>1</v>
      </c>
      <c r="C4" s="2">
        <f>-0.01*B3</f>
        <v>-0.02867</v>
      </c>
      <c r="D4" s="2">
        <f>-0.01*C3</f>
        <v>-0.02766655</v>
      </c>
      <c r="E4" s="2">
        <f>-0.01*D3</f>
        <v>-0.026802299833011755</v>
      </c>
      <c r="F4" s="2">
        <f>-0.01*E3</f>
        <v>-0.025864219338856343</v>
      </c>
      <c r="G4" s="2">
        <f>-0.01*F3</f>
        <v>-0.026749218604884856</v>
      </c>
    </row>
    <row r="5" spans="1:7" ht="12.75">
      <c r="A5" t="s">
        <v>2</v>
      </c>
      <c r="C5" s="2">
        <f>-0.025*B3</f>
        <v>-0.071675</v>
      </c>
      <c r="D5" s="2">
        <f>-0.025*C3</f>
        <v>-0.069166375</v>
      </c>
      <c r="E5" s="2">
        <f>-0.025*D3</f>
        <v>-0.06700574958252939</v>
      </c>
      <c r="F5" s="2">
        <f>-0.025*E3</f>
        <v>-0.06466054834714086</v>
      </c>
      <c r="G5" s="2">
        <f>-0.025*F3</f>
        <v>-0.06687304651221214</v>
      </c>
    </row>
    <row r="6" spans="1:7" ht="12.75">
      <c r="A6" t="s">
        <v>3</v>
      </c>
      <c r="B6" s="1"/>
      <c r="C6" s="7">
        <v>0</v>
      </c>
      <c r="D6" s="4">
        <v>363000</v>
      </c>
      <c r="E6" s="1">
        <v>0</v>
      </c>
      <c r="F6" s="4">
        <v>6560000</v>
      </c>
      <c r="G6" s="1">
        <v>0</v>
      </c>
    </row>
    <row r="7" spans="1:7" ht="12.75">
      <c r="A7" t="s">
        <v>4</v>
      </c>
      <c r="C7" s="4">
        <f>0.2*C6</f>
        <v>0</v>
      </c>
      <c r="D7" s="4">
        <f>0.2*D6</f>
        <v>72600</v>
      </c>
      <c r="E7" s="4">
        <f>0.2*E6</f>
        <v>0</v>
      </c>
      <c r="F7" s="4">
        <f>0.2*F6</f>
        <v>1312000</v>
      </c>
      <c r="G7" s="4">
        <f>0.2*G6</f>
        <v>0</v>
      </c>
    </row>
    <row r="8" spans="1:7" ht="12.75">
      <c r="A8" t="s">
        <v>5</v>
      </c>
      <c r="B8" s="5">
        <v>553279</v>
      </c>
      <c r="C8" s="5">
        <f>B8*1.025</f>
        <v>567110.975</v>
      </c>
      <c r="D8" s="5">
        <f>C8*1.025</f>
        <v>581288.7493749999</v>
      </c>
      <c r="E8" s="5">
        <f>D8*1.025</f>
        <v>595820.9681093749</v>
      </c>
      <c r="F8" s="5">
        <f>E8*1.025</f>
        <v>610716.4923121092</v>
      </c>
      <c r="G8" s="5">
        <f>F8*1.025</f>
        <v>625984.4046199119</v>
      </c>
    </row>
    <row r="9" spans="1:7" ht="12.75">
      <c r="A9" t="s">
        <v>6</v>
      </c>
      <c r="C9" s="1">
        <f>C7/C8/12</f>
        <v>0</v>
      </c>
      <c r="D9" s="1">
        <f>D7/D8/12</f>
        <v>0.010407908301175524</v>
      </c>
      <c r="E9" s="1">
        <f>E7/E8/12</f>
        <v>0</v>
      </c>
      <c r="F9" s="1">
        <f>F7/F8/12</f>
        <v>0.17902469428884862</v>
      </c>
      <c r="G9" s="1">
        <f>G7/G8/12</f>
        <v>0</v>
      </c>
    </row>
    <row r="11" spans="1:7" ht="12.75">
      <c r="A11" t="s">
        <v>73</v>
      </c>
      <c r="C11" s="2">
        <f>C9</f>
        <v>0</v>
      </c>
      <c r="D11" s="2">
        <f>D9</f>
        <v>0.010407908301175524</v>
      </c>
      <c r="E11" s="2">
        <f>E9</f>
        <v>0</v>
      </c>
      <c r="F11" s="2">
        <f>F9</f>
        <v>0.17902469428884862</v>
      </c>
      <c r="G11" s="2">
        <f>G9</f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2.9565401920237786</v>
      </c>
      <c r="D15" s="2">
        <f>C3+D4+D5+D11+D13</f>
        <v>3.2411780575066516</v>
      </c>
      <c r="E15" s="2">
        <f>D3+E4+E5+E11+E13</f>
        <v>3.8072001634241635</v>
      </c>
      <c r="F15" s="2">
        <f>E3+F4+F5+F11+F13</f>
        <v>4.001239076461324</v>
      </c>
      <c r="G15" s="2">
        <f>F3+G4+G5+G11+G13</f>
        <v>3.96277512082465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3" sqref="G3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3" width="11.28125" style="0" bestFit="1" customWidth="1"/>
    <col min="4" max="4" width="13.421875" style="0" bestFit="1" customWidth="1"/>
    <col min="5" max="6" width="12.28125" style="0" bestFit="1" customWidth="1"/>
    <col min="7" max="7" width="13.421875" style="0" bestFit="1" customWidth="1"/>
  </cols>
  <sheetData>
    <row r="1" ht="12.75">
      <c r="A1" s="21" t="s">
        <v>40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1.942</v>
      </c>
      <c r="C3" s="2">
        <f>B3+C4+C5+C9</f>
        <v>1.888415999083092</v>
      </c>
      <c r="D3" s="2">
        <f>C3+D4+D5+D9</f>
        <v>2.1869722248354773</v>
      </c>
      <c r="E3" s="2">
        <f>D3+E4+E5+E9</f>
        <v>2.1459456448220653</v>
      </c>
      <c r="F3" s="2">
        <f>E3+F4+F5+F9</f>
        <v>2.1382094793755377</v>
      </c>
      <c r="G3" s="2">
        <f>F3+G4+G5+G9</f>
        <v>2.5921970685241282</v>
      </c>
    </row>
    <row r="4" spans="1:7" ht="12.75">
      <c r="A4" t="s">
        <v>1</v>
      </c>
      <c r="C4" s="2">
        <f>-0.01*B3</f>
        <v>-0.01942</v>
      </c>
      <c r="D4" s="2">
        <f>-0.01*C3</f>
        <v>-0.018884159990830922</v>
      </c>
      <c r="E4" s="2">
        <f>-0.01*D3</f>
        <v>-0.021869722248354772</v>
      </c>
      <c r="F4" s="2">
        <f>-0.01*E3</f>
        <v>-0.021459456448220653</v>
      </c>
      <c r="G4" s="2">
        <f>-0.01*F3</f>
        <v>-0.021382094793755378</v>
      </c>
    </row>
    <row r="5" spans="1:7" ht="12.75">
      <c r="A5" t="s">
        <v>2</v>
      </c>
      <c r="C5" s="2">
        <f>-0.025*B3</f>
        <v>-0.04855</v>
      </c>
      <c r="D5" s="2">
        <f>-0.025*C3</f>
        <v>-0.0472103999770773</v>
      </c>
      <c r="E5" s="2">
        <f>-0.025*D3</f>
        <v>-0.05467430562088693</v>
      </c>
      <c r="F5" s="2">
        <f>-0.025*E3</f>
        <v>-0.053648641120551635</v>
      </c>
      <c r="G5" s="2">
        <f>-0.025*F3</f>
        <v>-0.05345523698438845</v>
      </c>
    </row>
    <row r="6" spans="1:7" ht="12.75">
      <c r="A6" t="s">
        <v>3</v>
      </c>
      <c r="B6" s="4"/>
      <c r="C6" s="6">
        <v>6836860</v>
      </c>
      <c r="D6" s="4">
        <f>161394235+12179190+4057132</f>
        <v>177630557</v>
      </c>
      <c r="E6" s="4">
        <v>17733977</v>
      </c>
      <c r="F6" s="4">
        <v>34480000</v>
      </c>
      <c r="G6" s="4">
        <v>277411227</v>
      </c>
    </row>
    <row r="7" spans="1:7" ht="12.75">
      <c r="A7" t="s">
        <v>4</v>
      </c>
      <c r="C7" s="4">
        <f>0.2*C6</f>
        <v>1367372</v>
      </c>
      <c r="D7" s="4">
        <f>0.2*D6</f>
        <v>35526111.4</v>
      </c>
      <c r="E7" s="4">
        <f>0.2*E6</f>
        <v>3546795.4000000004</v>
      </c>
      <c r="F7" s="4">
        <f>0.2*F6</f>
        <v>6896000</v>
      </c>
      <c r="G7" s="4">
        <f>0.2*G6</f>
        <v>55482245.400000006</v>
      </c>
    </row>
    <row r="8" spans="1:7" ht="12.75">
      <c r="A8" t="s">
        <v>5</v>
      </c>
      <c r="B8" s="5">
        <v>7727545</v>
      </c>
      <c r="C8" s="5">
        <f>B8*1.025</f>
        <v>7920733.624999999</v>
      </c>
      <c r="D8" s="5">
        <f>C8*1.025</f>
        <v>8118751.965624998</v>
      </c>
      <c r="E8" s="5">
        <f>D8*1.025</f>
        <v>8321720.764765623</v>
      </c>
      <c r="F8" s="5">
        <f>E8*1.025</f>
        <v>8529763.783884764</v>
      </c>
      <c r="G8" s="5">
        <f>F8*1.025</f>
        <v>8743007.878481882</v>
      </c>
    </row>
    <row r="9" spans="1:7" ht="12.75">
      <c r="A9" t="s">
        <v>6</v>
      </c>
      <c r="C9" s="1">
        <f>C7/C8/12</f>
        <v>0.01438599908309209</v>
      </c>
      <c r="D9" s="1">
        <f>D7/D8/12</f>
        <v>0.3646507857202936</v>
      </c>
      <c r="E9" s="1">
        <f>E7/E8/12</f>
        <v>0.03551744785582911</v>
      </c>
      <c r="F9" s="1">
        <f>F7/F8/12</f>
        <v>0.06737193212224485</v>
      </c>
      <c r="G9" s="1">
        <f>G7/G8/12</f>
        <v>0.5288249209267348</v>
      </c>
    </row>
    <row r="11" ht="12.75">
      <c r="A11" s="19" t="s">
        <v>41</v>
      </c>
    </row>
    <row r="13" spans="1:7" ht="12.75">
      <c r="A13" t="s">
        <v>73</v>
      </c>
      <c r="C13" s="2">
        <f>C9</f>
        <v>0.01438599908309209</v>
      </c>
      <c r="D13" s="2">
        <f>((D6-107531397)*0.2)/(C8*12)</f>
        <v>0.1475014043706505</v>
      </c>
      <c r="E13" s="2">
        <f>E9</f>
        <v>0.03551744785582911</v>
      </c>
      <c r="F13" s="2">
        <f>F9</f>
        <v>0.06737193212224485</v>
      </c>
      <c r="G13" s="2">
        <f>G9</f>
        <v>0.5288249209267348</v>
      </c>
    </row>
    <row r="15" spans="1:7" ht="12.75">
      <c r="A15" t="s">
        <v>79</v>
      </c>
      <c r="C15" s="2">
        <f>PostageStamp!C33</f>
        <v>0.18988519202377838</v>
      </c>
      <c r="D15" s="2">
        <f>PostageStamp!D33</f>
        <v>0.5609480742054761</v>
      </c>
      <c r="E15" s="2">
        <f>PostageStamp!E33</f>
        <v>1.2207782295385292</v>
      </c>
      <c r="F15" s="2">
        <f>PostageStamp!F33</f>
        <v>1.3263172159728382</v>
      </c>
      <c r="G15" s="2">
        <f>PostageStamp!G33</f>
        <v>1.3814755254532614</v>
      </c>
    </row>
    <row r="17" spans="1:7" ht="12.75">
      <c r="A17" t="s">
        <v>76</v>
      </c>
      <c r="C17" s="2">
        <f>B3+C4+C5+C11+C13</f>
        <v>1.888415999083092</v>
      </c>
      <c r="D17" s="2">
        <f>C3+D4+D5+D15+D13</f>
        <v>2.5307709176913105</v>
      </c>
      <c r="E17" s="2">
        <f>D3+E4+E5+E15+E13</f>
        <v>3.366723874360594</v>
      </c>
      <c r="F17" s="2">
        <f>E3+F4+F5+F15+F13</f>
        <v>3.464526695348376</v>
      </c>
      <c r="G17" s="2">
        <f>F3+G4+G5+G15+G13</f>
        <v>3.9736725939773896</v>
      </c>
    </row>
    <row r="19" ht="12.75">
      <c r="A19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11" sqref="D11"/>
    </sheetView>
  </sheetViews>
  <sheetFormatPr defaultColWidth="9.140625" defaultRowHeight="12.75"/>
  <cols>
    <col min="1" max="1" width="22.140625" style="0" bestFit="1" customWidth="1"/>
    <col min="2" max="6" width="10.28125" style="0" bestFit="1" customWidth="1"/>
    <col min="7" max="7" width="13.421875" style="0" bestFit="1" customWidth="1"/>
  </cols>
  <sheetData>
    <row r="1" ht="12.75">
      <c r="A1" s="21" t="s">
        <v>36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3.516</v>
      </c>
      <c r="C3" s="2">
        <f>B3+C4+C5+C9</f>
        <v>3.3929400000000003</v>
      </c>
      <c r="D3" s="2">
        <f>C3+D4+D5+D9</f>
        <v>3.2840743681567433</v>
      </c>
      <c r="E3" s="2">
        <f>D3+E4+E5+E9</f>
        <v>3.1895650584138004</v>
      </c>
      <c r="F3" s="2">
        <f>E3+F4+F5+F9</f>
        <v>3.0779302813693175</v>
      </c>
      <c r="G3" s="2">
        <f>F3+G4+G5+G9</f>
        <v>5.38289573032108</v>
      </c>
    </row>
    <row r="4" spans="1:7" ht="12.75">
      <c r="A4" t="s">
        <v>1</v>
      </c>
      <c r="C4" s="2">
        <f>-0.01*B3</f>
        <v>-0.035160000000000004</v>
      </c>
      <c r="D4" s="2">
        <f>-0.01*C3</f>
        <v>-0.033929400000000005</v>
      </c>
      <c r="E4" s="2">
        <f>-0.01*D3</f>
        <v>-0.03284074368156743</v>
      </c>
      <c r="F4" s="2">
        <f>-0.01*E3</f>
        <v>-0.031895650584138006</v>
      </c>
      <c r="G4" s="2">
        <f>-0.01*F3</f>
        <v>-0.030779302813693177</v>
      </c>
    </row>
    <row r="5" spans="1:7" ht="12.75">
      <c r="A5" t="s">
        <v>2</v>
      </c>
      <c r="C5" s="2">
        <f>-0.025*B3</f>
        <v>-0.0879</v>
      </c>
      <c r="D5" s="2">
        <f>-0.025*C3</f>
        <v>-0.08482350000000001</v>
      </c>
      <c r="E5" s="2">
        <f>-0.025*D3</f>
        <v>-0.08210185920391859</v>
      </c>
      <c r="F5" s="2">
        <f>-0.025*E3</f>
        <v>-0.07973912646034502</v>
      </c>
      <c r="G5" s="2">
        <f>-0.025*F3</f>
        <v>-0.07694825703423294</v>
      </c>
    </row>
    <row r="6" spans="1:8" ht="12.75">
      <c r="A6" t="s">
        <v>3</v>
      </c>
      <c r="B6" s="4"/>
      <c r="C6" s="6"/>
      <c r="D6" s="4">
        <v>436672</v>
      </c>
      <c r="E6" s="4">
        <v>924999</v>
      </c>
      <c r="F6" s="4">
        <v>0</v>
      </c>
      <c r="G6" s="4">
        <v>114750000</v>
      </c>
      <c r="H6" s="4"/>
    </row>
    <row r="7" spans="1:7" ht="12.75">
      <c r="A7" t="s">
        <v>4</v>
      </c>
      <c r="C7" s="4">
        <f>0.2*C6</f>
        <v>0</v>
      </c>
      <c r="D7" s="4">
        <f>0.2*D6</f>
        <v>87334.40000000001</v>
      </c>
      <c r="E7" s="4">
        <f>0.2*E6</f>
        <v>184999.80000000002</v>
      </c>
      <c r="F7" s="4">
        <f>0.2*F6</f>
        <v>0</v>
      </c>
      <c r="G7" s="4">
        <f>0.2*G6</f>
        <v>22950000</v>
      </c>
    </row>
    <row r="8" spans="1:7" ht="12.75">
      <c r="A8" t="s">
        <v>5</v>
      </c>
      <c r="B8" s="5">
        <v>700616</v>
      </c>
      <c r="C8" s="5">
        <f>B8*1.025</f>
        <v>718131.3999999999</v>
      </c>
      <c r="D8" s="5">
        <f>C8*1.025</f>
        <v>736084.6849999998</v>
      </c>
      <c r="E8" s="5">
        <f>D8*1.025</f>
        <v>754486.8021249997</v>
      </c>
      <c r="F8" s="5">
        <f>E8*1.025</f>
        <v>773348.9721781246</v>
      </c>
      <c r="G8" s="5">
        <f>F8*1.025</f>
        <v>792682.6964825776</v>
      </c>
    </row>
    <row r="9" spans="1:7" ht="12.75">
      <c r="A9" t="s">
        <v>6</v>
      </c>
      <c r="C9" s="1">
        <f>C7/C8/12</f>
        <v>0</v>
      </c>
      <c r="D9" s="1">
        <f>D7/D8/12</f>
        <v>0.009887268156742955</v>
      </c>
      <c r="E9" s="1">
        <f>E7/E8/12</f>
        <v>0.020433293142543062</v>
      </c>
      <c r="F9" s="1">
        <f>F7/F8/12</f>
        <v>0</v>
      </c>
      <c r="G9" s="1">
        <f>G7/G8/12</f>
        <v>2.412693008799688</v>
      </c>
    </row>
    <row r="11" spans="1:7" ht="12.75">
      <c r="A11" t="s">
        <v>73</v>
      </c>
      <c r="C11" s="2">
        <f>C9</f>
        <v>0</v>
      </c>
      <c r="D11" s="2">
        <f>D9</f>
        <v>0.009887268156742955</v>
      </c>
      <c r="E11" s="2">
        <f>E9</f>
        <v>0.020433293142543062</v>
      </c>
      <c r="F11" s="2">
        <f>F9</f>
        <v>0</v>
      </c>
      <c r="G11" s="2">
        <f>G9</f>
        <v>2.412693008799688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3.582825192023779</v>
      </c>
      <c r="D15" s="2">
        <f>C3+D4+D5+D11+D13</f>
        <v>3.8450224423622195</v>
      </c>
      <c r="E15" s="2">
        <f>D3+E4+E5+E11+E13</f>
        <v>4.41034328795233</v>
      </c>
      <c r="F15" s="2">
        <f>E3+F4+F5+F11+F13</f>
        <v>4.404247497342156</v>
      </c>
      <c r="G15" s="2">
        <f>F3+G4+G5+G11+G13</f>
        <v>6.764371255774341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5" sqref="C15"/>
    </sheetView>
  </sheetViews>
  <sheetFormatPr defaultColWidth="9.140625" defaultRowHeight="12.75"/>
  <cols>
    <col min="1" max="1" width="22.140625" style="0" bestFit="1" customWidth="1"/>
    <col min="2" max="2" width="11.28125" style="0" bestFit="1" customWidth="1"/>
    <col min="3" max="3" width="15.00390625" style="0" bestFit="1" customWidth="1"/>
    <col min="4" max="7" width="13.421875" style="0" bestFit="1" customWidth="1"/>
  </cols>
  <sheetData>
    <row r="1" ht="12.75">
      <c r="A1" s="21" t="s">
        <v>48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2.628</v>
      </c>
      <c r="C3" s="2">
        <f>B3+C4+C5+C9</f>
        <v>3.0526951620262417</v>
      </c>
      <c r="D3" s="2">
        <f>C3+D4+D5+D9</f>
        <v>3.45767764138854</v>
      </c>
      <c r="E3" s="2">
        <f>D3+E4+E5+E9</f>
        <v>3.790345370104793</v>
      </c>
      <c r="F3" s="2">
        <f>E3+F4+F5+F9</f>
        <v>3.9305713270953833</v>
      </c>
      <c r="G3" s="2">
        <f>F3+G4+G5+G9</f>
        <v>4.019355394500509</v>
      </c>
    </row>
    <row r="4" spans="1:7" ht="12.75">
      <c r="A4" t="s">
        <v>1</v>
      </c>
      <c r="C4" s="2">
        <f>-0.026*B3</f>
        <v>-0.068328</v>
      </c>
      <c r="D4" s="2">
        <f>-0.026*C3</f>
        <v>-0.07937007421268229</v>
      </c>
      <c r="E4" s="2">
        <f>-0.026*D3</f>
        <v>-0.08989961867610204</v>
      </c>
      <c r="F4" s="2">
        <f>-0.026*E3</f>
        <v>-0.09854897962272462</v>
      </c>
      <c r="G4" s="2">
        <f>-0.026*F3</f>
        <v>-0.10219485450447996</v>
      </c>
    </row>
    <row r="5" spans="1:7" ht="12.75">
      <c r="A5" t="s">
        <v>2</v>
      </c>
      <c r="C5" s="2">
        <f>-0.025*B3</f>
        <v>-0.06570000000000001</v>
      </c>
      <c r="D5" s="2">
        <f>-0.025*C3</f>
        <v>-0.07631737905065605</v>
      </c>
      <c r="E5" s="2">
        <f>-0.025*D3</f>
        <v>-0.0864419410347135</v>
      </c>
      <c r="F5" s="2">
        <f>-0.025*E3</f>
        <v>-0.09475863425261982</v>
      </c>
      <c r="G5" s="2">
        <f>-0.025*F3</f>
        <v>-0.09826428317738459</v>
      </c>
    </row>
    <row r="6" spans="1:7" ht="12.75">
      <c r="A6" t="s">
        <v>3</v>
      </c>
      <c r="C6" s="6">
        <v>350000000</v>
      </c>
      <c r="D6" s="4">
        <v>360000000</v>
      </c>
      <c r="E6" s="4">
        <v>335000000</v>
      </c>
      <c r="F6" s="4">
        <v>225000000</v>
      </c>
      <c r="G6" s="4">
        <v>200000000</v>
      </c>
    </row>
    <row r="7" spans="1:7" ht="12.75">
      <c r="A7" t="s">
        <v>4</v>
      </c>
      <c r="C7" s="4">
        <f>0.2*C6</f>
        <v>70000000</v>
      </c>
      <c r="D7" s="4">
        <f>0.2*D6</f>
        <v>72000000</v>
      </c>
      <c r="E7" s="4">
        <f>0.2*E6</f>
        <v>67000000</v>
      </c>
      <c r="F7" s="4">
        <f>0.2*F6</f>
        <v>45000000</v>
      </c>
      <c r="G7" s="4">
        <f>0.2*G6</f>
        <v>40000000</v>
      </c>
    </row>
    <row r="8" spans="1:7" ht="12.75">
      <c r="A8" t="s">
        <v>5</v>
      </c>
      <c r="B8" s="5">
        <v>10185826</v>
      </c>
      <c r="C8" s="5">
        <f>B8*1.025</f>
        <v>10440471.649999999</v>
      </c>
      <c r="D8" s="5">
        <f>C8*1.025</f>
        <v>10701483.441249998</v>
      </c>
      <c r="E8" s="5">
        <f>D8*1.025</f>
        <v>10969020.527281247</v>
      </c>
      <c r="F8" s="5">
        <f>E8*1.025</f>
        <v>11243246.040463278</v>
      </c>
      <c r="G8" s="5">
        <f>F8*1.025</f>
        <v>11524327.191474859</v>
      </c>
    </row>
    <row r="9" spans="1:7" ht="12.75">
      <c r="A9" t="s">
        <v>6</v>
      </c>
      <c r="C9" s="1">
        <f>C7/C8/12</f>
        <v>0.5587231620262418</v>
      </c>
      <c r="D9" s="1">
        <f>D7/D8/12</f>
        <v>0.5606699326256364</v>
      </c>
      <c r="E9" s="1">
        <f>E7/E8/12</f>
        <v>0.5090092884270684</v>
      </c>
      <c r="F9" s="1">
        <f>F7/F8/12</f>
        <v>0.3335335708659348</v>
      </c>
      <c r="G9" s="1">
        <f>G7/G8/12</f>
        <v>0.2892432050869896</v>
      </c>
    </row>
    <row r="11" spans="1:7" ht="12.75">
      <c r="A11" t="s">
        <v>73</v>
      </c>
      <c r="C11" s="1">
        <f>C9</f>
        <v>0.5587231620262418</v>
      </c>
      <c r="D11" s="1">
        <v>0</v>
      </c>
      <c r="E11" s="1">
        <f>E9-((231200000*0.2)/(E8*12))</f>
        <v>0.1577169078768051</v>
      </c>
      <c r="F11" s="1">
        <f>F9-((72644254*0.2)/(F8*12))</f>
        <v>0.22584780446810385</v>
      </c>
      <c r="G11" s="1">
        <f>G9</f>
        <v>0.2892432050869896</v>
      </c>
    </row>
    <row r="13" spans="1:8" ht="12.75">
      <c r="A13" t="s">
        <v>79</v>
      </c>
      <c r="C13" s="23">
        <f>PostageStamp!C33</f>
        <v>0.18988519202377838</v>
      </c>
      <c r="D13" s="23">
        <f>PostageStamp!D33</f>
        <v>0.5609480742054761</v>
      </c>
      <c r="E13" s="23">
        <f>PostageStamp!E33</f>
        <v>1.2207782295385292</v>
      </c>
      <c r="F13" s="23">
        <f>PostageStamp!F33</f>
        <v>1.3263172159728382</v>
      </c>
      <c r="G13" s="23">
        <f>PostageStamp!G33</f>
        <v>1.3814755254532614</v>
      </c>
      <c r="H13" s="4"/>
    </row>
    <row r="15" spans="1:7" ht="12.75">
      <c r="A15" t="s">
        <v>76</v>
      </c>
      <c r="C15" s="2">
        <f>B3+C4+C5+C11+C13</f>
        <v>3.24258035405002</v>
      </c>
      <c r="D15" s="2">
        <f>C3+D4+D5+D11+D13</f>
        <v>3.4579557829683796</v>
      </c>
      <c r="E15" s="2">
        <f>D3+E4+E5+E11+E13</f>
        <v>4.659831219093059</v>
      </c>
      <c r="F15" s="2">
        <f>E3+F4+F5+F11+F13</f>
        <v>5.149202776670391</v>
      </c>
      <c r="G15" s="2">
        <f>F3+G4+G5+G11+G13</f>
        <v>5.40083091995377</v>
      </c>
    </row>
    <row r="17" ht="12.75">
      <c r="A17" s="19" t="s"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  <col min="3" max="3" width="11.28125" style="0" bestFit="1" customWidth="1"/>
  </cols>
  <sheetData>
    <row r="1" ht="12.75">
      <c r="A1" s="21" t="s">
        <v>39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1.916</v>
      </c>
      <c r="C3" s="2">
        <f>B3+C4+C5+C9</f>
        <v>2.184714728009671</v>
      </c>
      <c r="D3" s="2">
        <f>C3+D4+D5+D9</f>
        <v>2.1082497125293322</v>
      </c>
      <c r="E3" s="2">
        <f>D3+E4+E5+E9</f>
        <v>2.034460972590806</v>
      </c>
      <c r="F3" s="2">
        <f>E3+F4+F5+F9</f>
        <v>1.9632548385501276</v>
      </c>
      <c r="G3" s="2">
        <f>F3+G4+G5+G9</f>
        <v>1.894540919200873</v>
      </c>
    </row>
    <row r="4" spans="1:7" ht="12.75">
      <c r="A4" t="s">
        <v>1</v>
      </c>
      <c r="C4" s="2">
        <f>-0.01*B3</f>
        <v>-0.01916</v>
      </c>
      <c r="D4" s="2">
        <f>-0.01*C3</f>
        <v>-0.021847147280096707</v>
      </c>
      <c r="E4" s="2">
        <f>-0.01*D3</f>
        <v>-0.021082497125293323</v>
      </c>
      <c r="F4" s="2">
        <f>-0.01*E3</f>
        <v>-0.02034460972590806</v>
      </c>
      <c r="G4" s="2">
        <f>-0.01*F3</f>
        <v>-0.019632548385501276</v>
      </c>
    </row>
    <row r="5" spans="1:7" ht="12.75">
      <c r="A5" t="s">
        <v>2</v>
      </c>
      <c r="C5" s="2">
        <f>-0.025*B3</f>
        <v>-0.0479</v>
      </c>
      <c r="D5" s="2">
        <f>-0.025*C3</f>
        <v>-0.054617868200241775</v>
      </c>
      <c r="E5" s="2">
        <f>-0.025*D3</f>
        <v>-0.05270624281323331</v>
      </c>
      <c r="F5" s="2">
        <f>-0.025*E3</f>
        <v>-0.050861524314770146</v>
      </c>
      <c r="G5" s="2">
        <f>-0.025*F3</f>
        <v>-0.049081370963753194</v>
      </c>
    </row>
    <row r="6" spans="1:7" ht="12.75">
      <c r="A6" t="s">
        <v>3</v>
      </c>
      <c r="B6" s="4"/>
      <c r="C6" s="6">
        <v>7083000</v>
      </c>
      <c r="D6" s="4">
        <v>0</v>
      </c>
      <c r="E6" s="4">
        <v>0</v>
      </c>
      <c r="F6" s="4">
        <v>0</v>
      </c>
      <c r="G6" s="4">
        <v>0</v>
      </c>
    </row>
    <row r="7" spans="1:7" ht="12.75">
      <c r="A7" t="s">
        <v>4</v>
      </c>
      <c r="C7" s="4">
        <f>0.2*C6</f>
        <v>1416600</v>
      </c>
      <c r="D7" s="4">
        <f>0.2*D6</f>
        <v>0</v>
      </c>
      <c r="E7" s="4">
        <f>0.2*E6</f>
        <v>0</v>
      </c>
      <c r="F7" s="4">
        <f>0.2*F6</f>
        <v>0</v>
      </c>
      <c r="G7" s="4">
        <f>0.2*G6</f>
        <v>0</v>
      </c>
    </row>
    <row r="8" spans="1:7" ht="12.75">
      <c r="A8" t="s">
        <v>5</v>
      </c>
      <c r="B8" s="5">
        <v>343000</v>
      </c>
      <c r="C8" s="5">
        <f>B8*1.025</f>
        <v>351574.99999999994</v>
      </c>
      <c r="D8" s="5">
        <f>C8*1.025</f>
        <v>360364.3749999999</v>
      </c>
      <c r="E8" s="5">
        <f>D8*1.025</f>
        <v>369373.4843749998</v>
      </c>
      <c r="F8" s="5">
        <f>E8*1.025</f>
        <v>378607.8214843748</v>
      </c>
      <c r="G8" s="5">
        <f>F8*1.025</f>
        <v>388073.01702148415</v>
      </c>
    </row>
    <row r="9" spans="1:7" ht="12.75">
      <c r="A9" t="s">
        <v>6</v>
      </c>
      <c r="C9" s="1">
        <f>C7/C8/12</f>
        <v>0.3357747280096708</v>
      </c>
      <c r="D9" s="1">
        <f>D7/D8/12</f>
        <v>0</v>
      </c>
      <c r="E9" s="1">
        <f>E7/E8/12</f>
        <v>0</v>
      </c>
      <c r="F9" s="1">
        <f>F7/F8/12</f>
        <v>0</v>
      </c>
      <c r="G9" s="1">
        <f>G7/G8/12</f>
        <v>0</v>
      </c>
    </row>
    <row r="11" spans="1:7" ht="12.75">
      <c r="A11" t="s">
        <v>73</v>
      </c>
      <c r="C11" s="2">
        <f>C9</f>
        <v>0.3357747280096708</v>
      </c>
      <c r="D11" s="2">
        <f>D9</f>
        <v>0</v>
      </c>
      <c r="E11" s="2">
        <f>E9</f>
        <v>0</v>
      </c>
      <c r="F11" s="2">
        <f>F9</f>
        <v>0</v>
      </c>
      <c r="G11" s="2">
        <f>G9</f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2.3745999200334493</v>
      </c>
      <c r="D15" s="2">
        <f>C3+D4+D5+D11+D13</f>
        <v>2.6691977867348085</v>
      </c>
      <c r="E15" s="2">
        <f>D3+E4+E5+E11+E13</f>
        <v>3.255239202129335</v>
      </c>
      <c r="F15" s="2">
        <f>E3+F4+F5+F11+F13</f>
        <v>3.289572054522966</v>
      </c>
      <c r="G15" s="2">
        <f>F3+G4+G5+G11+G13</f>
        <v>3.276016444654134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</cols>
  <sheetData>
    <row r="1" ht="12.75">
      <c r="A1" s="21" t="s">
        <v>57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2.519</v>
      </c>
      <c r="C3" s="2">
        <f>B3+C4+C5+C9</f>
        <v>2.430835</v>
      </c>
      <c r="D3" s="2">
        <f>C3+D4+D5+D9</f>
        <v>2.3457557749999998</v>
      </c>
      <c r="E3" s="2">
        <f>D3+E4+E5+E9</f>
        <v>2.263654322875</v>
      </c>
      <c r="F3" s="2">
        <f>E3+F4+F5+F9</f>
        <v>2.184426421574375</v>
      </c>
      <c r="G3" s="2">
        <f>F3+G4+G5+G9</f>
        <v>2.107971496819272</v>
      </c>
    </row>
    <row r="4" spans="1:7" ht="12.75">
      <c r="A4" t="s">
        <v>1</v>
      </c>
      <c r="C4" s="2">
        <f>-0.01*B3</f>
        <v>-0.02519</v>
      </c>
      <c r="D4" s="2">
        <f>-0.01*C3</f>
        <v>-0.024308350000000003</v>
      </c>
      <c r="E4" s="2">
        <f>-0.01*D3</f>
        <v>-0.023457557749999997</v>
      </c>
      <c r="F4" s="2">
        <f>-0.01*E3</f>
        <v>-0.02263654322875</v>
      </c>
      <c r="G4" s="2">
        <f>-0.01*F3</f>
        <v>-0.02184426421574375</v>
      </c>
    </row>
    <row r="5" spans="1:7" ht="12.75">
      <c r="A5" t="s">
        <v>2</v>
      </c>
      <c r="C5" s="2">
        <f>-0.025*B3</f>
        <v>-0.062975</v>
      </c>
      <c r="D5" s="2">
        <f>-0.025*C3</f>
        <v>-0.060770875</v>
      </c>
      <c r="E5" s="2">
        <f>-0.025*D3</f>
        <v>-0.058643894375</v>
      </c>
      <c r="F5" s="2">
        <f>-0.025*E3</f>
        <v>-0.056591358071875</v>
      </c>
      <c r="G5" s="2">
        <f>-0.025*F3</f>
        <v>-0.05461066053935938</v>
      </c>
    </row>
    <row r="6" spans="1:7" ht="12.75">
      <c r="A6" t="s">
        <v>3</v>
      </c>
      <c r="B6" s="1"/>
      <c r="C6" s="7"/>
      <c r="D6" s="1"/>
      <c r="E6" s="1"/>
      <c r="F6" s="1"/>
      <c r="G6" s="1"/>
    </row>
    <row r="7" spans="1:7" ht="12.75">
      <c r="A7" t="s">
        <v>4</v>
      </c>
      <c r="C7" s="4">
        <f>0.2*C6</f>
        <v>0</v>
      </c>
      <c r="D7" s="4">
        <f>0.2*D6</f>
        <v>0</v>
      </c>
      <c r="E7" s="4">
        <f>0.2*E6</f>
        <v>0</v>
      </c>
      <c r="F7" s="4">
        <f>0.2*F6</f>
        <v>0</v>
      </c>
      <c r="G7" s="4">
        <f>0.2*G6</f>
        <v>0</v>
      </c>
    </row>
    <row r="8" spans="1:7" ht="12.75">
      <c r="A8" t="s">
        <v>5</v>
      </c>
      <c r="B8" s="8">
        <v>255700</v>
      </c>
      <c r="C8" s="8">
        <f>B8*1.025</f>
        <v>262092.49999999997</v>
      </c>
      <c r="D8" s="8">
        <f>C8*1.025</f>
        <v>268644.81249999994</v>
      </c>
      <c r="E8" s="8">
        <f>D8*1.025</f>
        <v>275360.93281249993</v>
      </c>
      <c r="F8" s="8">
        <f>E8*1.025</f>
        <v>282244.9561328124</v>
      </c>
      <c r="G8" s="8">
        <f>F8*1.025</f>
        <v>289301.0800361327</v>
      </c>
    </row>
    <row r="9" spans="1:7" ht="12.75">
      <c r="A9" t="s">
        <v>6</v>
      </c>
      <c r="B9" s="9"/>
      <c r="C9" s="10">
        <f>C7/C8/12</f>
        <v>0</v>
      </c>
      <c r="D9" s="10">
        <f>D7/D8/12</f>
        <v>0</v>
      </c>
      <c r="E9" s="10">
        <f>E7/E8/12</f>
        <v>0</v>
      </c>
      <c r="F9" s="10">
        <f>F7/F8/12</f>
        <v>0</v>
      </c>
      <c r="G9" s="10">
        <f>G7/G8/12</f>
        <v>0</v>
      </c>
    </row>
    <row r="11" spans="1:10" ht="12.75">
      <c r="A11" t="s">
        <v>73</v>
      </c>
      <c r="C11" s="2">
        <f>C9</f>
        <v>0</v>
      </c>
      <c r="D11" s="2">
        <f>D9</f>
        <v>0</v>
      </c>
      <c r="E11" s="2">
        <f>E9</f>
        <v>0</v>
      </c>
      <c r="F11" s="2">
        <f>F9</f>
        <v>0</v>
      </c>
      <c r="G11" s="2">
        <f>G9</f>
        <v>0</v>
      </c>
      <c r="J11" s="11"/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2.6207201920237786</v>
      </c>
      <c r="D15" s="2">
        <f>C3+D4+D5+D11+D13</f>
        <v>2.906703849205476</v>
      </c>
      <c r="E15" s="2">
        <f>D3+E4+E5+E11+E13</f>
        <v>3.484432552413529</v>
      </c>
      <c r="F15" s="2">
        <f>E3+F4+F5+F11+F13</f>
        <v>3.5107436375472134</v>
      </c>
      <c r="G15" s="2">
        <f>F3+G4+G5+G11+G13</f>
        <v>3.4894470222725333</v>
      </c>
    </row>
    <row r="17" ht="12.75">
      <c r="A17" s="19" t="s"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1" sqref="F11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6" width="12.28125" style="0" bestFit="1" customWidth="1"/>
    <col min="7" max="7" width="10.28125" style="0" bestFit="1" customWidth="1"/>
    <col min="8" max="8" width="12.28125" style="0" bestFit="1" customWidth="1"/>
  </cols>
  <sheetData>
    <row r="1" ht="12.75">
      <c r="A1" s="21" t="s">
        <v>81</v>
      </c>
    </row>
    <row r="2" spans="2:8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</row>
    <row r="3" spans="1:8" ht="12.75">
      <c r="A3" t="s">
        <v>0</v>
      </c>
      <c r="B3" s="1">
        <v>1.264</v>
      </c>
      <c r="C3" s="2">
        <f aca="true" t="shared" si="0" ref="C3:H3">B3+C4+C5+C9</f>
        <v>1.4289095354417172</v>
      </c>
      <c r="D3" s="2">
        <f t="shared" si="0"/>
        <v>1.9790852200696687</v>
      </c>
      <c r="E3" s="2">
        <f t="shared" si="0"/>
        <v>2.0896966240247643</v>
      </c>
      <c r="F3" s="2">
        <f t="shared" si="0"/>
        <v>2.982865121932095</v>
      </c>
      <c r="G3" s="2">
        <f t="shared" si="0"/>
        <v>2.8784648426644717</v>
      </c>
      <c r="H3" s="2">
        <f t="shared" si="0"/>
        <v>3.799153539152161</v>
      </c>
    </row>
    <row r="4" spans="1:8" ht="12.75">
      <c r="A4" t="s">
        <v>1</v>
      </c>
      <c r="C4" s="2">
        <f aca="true" t="shared" si="1" ref="C4:H4">-0.01*B3</f>
        <v>-0.01264</v>
      </c>
      <c r="D4" s="2">
        <f t="shared" si="1"/>
        <v>-0.014289095354417173</v>
      </c>
      <c r="E4" s="2">
        <f t="shared" si="1"/>
        <v>-0.019790852200696686</v>
      </c>
      <c r="F4" s="2">
        <f t="shared" si="1"/>
        <v>-0.020896966240247644</v>
      </c>
      <c r="G4" s="2">
        <f t="shared" si="1"/>
        <v>-0.02982865121932095</v>
      </c>
      <c r="H4" s="2">
        <f t="shared" si="1"/>
        <v>-0.028784648426644716</v>
      </c>
    </row>
    <row r="5" spans="1:8" ht="12.75">
      <c r="A5" t="s">
        <v>2</v>
      </c>
      <c r="C5" s="2">
        <f aca="true" t="shared" si="2" ref="C5:H5">-0.025*B3</f>
        <v>-0.0316</v>
      </c>
      <c r="D5" s="2">
        <f t="shared" si="2"/>
        <v>-0.03572273838604293</v>
      </c>
      <c r="E5" s="2">
        <f t="shared" si="2"/>
        <v>-0.04947713050174172</v>
      </c>
      <c r="F5" s="2">
        <f t="shared" si="2"/>
        <v>-0.05224241560061911</v>
      </c>
      <c r="G5" s="2">
        <f t="shared" si="2"/>
        <v>-0.07457162804830238</v>
      </c>
      <c r="H5" s="2">
        <f t="shared" si="2"/>
        <v>-0.07196162106661179</v>
      </c>
    </row>
    <row r="6" spans="1:8" ht="12.75">
      <c r="A6" t="s">
        <v>3</v>
      </c>
      <c r="B6" s="4"/>
      <c r="C6" s="6">
        <v>13225000</v>
      </c>
      <c r="D6" s="4">
        <v>38900000</v>
      </c>
      <c r="E6" s="4">
        <v>11950000</v>
      </c>
      <c r="F6" s="4">
        <v>65800000</v>
      </c>
      <c r="G6" s="4">
        <v>0</v>
      </c>
      <c r="H6" s="4">
        <v>73075000</v>
      </c>
    </row>
    <row r="7" spans="1:8" ht="12.75">
      <c r="A7" t="s">
        <v>4</v>
      </c>
      <c r="C7" s="4">
        <f aca="true" t="shared" si="3" ref="C7:H7">0.2*C6</f>
        <v>2645000</v>
      </c>
      <c r="D7" s="4">
        <f t="shared" si="3"/>
        <v>7780000</v>
      </c>
      <c r="E7" s="4">
        <f t="shared" si="3"/>
        <v>2390000</v>
      </c>
      <c r="F7" s="4">
        <f t="shared" si="3"/>
        <v>13160000</v>
      </c>
      <c r="G7" s="4">
        <f t="shared" si="3"/>
        <v>0</v>
      </c>
      <c r="H7" s="4">
        <f t="shared" si="3"/>
        <v>14615000</v>
      </c>
    </row>
    <row r="8" spans="1:8" ht="12.75">
      <c r="A8" t="s">
        <v>5</v>
      </c>
      <c r="B8" s="5">
        <v>1028167</v>
      </c>
      <c r="C8" s="5">
        <f aca="true" t="shared" si="4" ref="C8:H8">B8*1.025</f>
        <v>1053871.1749999998</v>
      </c>
      <c r="D8" s="5">
        <f t="shared" si="4"/>
        <v>1080217.9543749997</v>
      </c>
      <c r="E8" s="5">
        <f t="shared" si="4"/>
        <v>1107223.4032343747</v>
      </c>
      <c r="F8" s="5">
        <f t="shared" si="4"/>
        <v>1134903.988315234</v>
      </c>
      <c r="G8" s="5">
        <f t="shared" si="4"/>
        <v>1163276.5880231147</v>
      </c>
      <c r="H8" s="5">
        <f t="shared" si="4"/>
        <v>1192358.5027236925</v>
      </c>
    </row>
    <row r="9" spans="1:8" ht="12.75">
      <c r="A9" t="s">
        <v>6</v>
      </c>
      <c r="C9" s="1">
        <f aca="true" t="shared" si="5" ref="C9:H9">C7/C8/12</f>
        <v>0.20914953544171724</v>
      </c>
      <c r="D9" s="1">
        <f t="shared" si="5"/>
        <v>0.6001875183684118</v>
      </c>
      <c r="E9" s="1">
        <f t="shared" si="5"/>
        <v>0.1798793866575339</v>
      </c>
      <c r="F9" s="1">
        <f t="shared" si="5"/>
        <v>0.9663078797481973</v>
      </c>
      <c r="G9" s="1">
        <f t="shared" si="5"/>
        <v>0</v>
      </c>
      <c r="H9" s="1">
        <f t="shared" si="5"/>
        <v>1.021434965980946</v>
      </c>
    </row>
    <row r="11" spans="1:8" ht="12.75">
      <c r="A11" t="s">
        <v>73</v>
      </c>
      <c r="C11" s="2">
        <v>0</v>
      </c>
      <c r="D11" s="2">
        <f>D9</f>
        <v>0.6001875183684118</v>
      </c>
      <c r="E11" s="2">
        <f>E9</f>
        <v>0.1798793866575339</v>
      </c>
      <c r="F11" s="1">
        <f>((F$6-51900000)*0.2)/(E$8*12)</f>
        <v>0.20923208991964196</v>
      </c>
      <c r="G11" s="2">
        <f>G9</f>
        <v>0</v>
      </c>
      <c r="H11" s="1">
        <f>((H$6-73075000)*0.2)/(G$8*12)</f>
        <v>0</v>
      </c>
    </row>
    <row r="13" spans="1:8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  <c r="H13" s="2">
        <f>PostageStamp!H33</f>
        <v>1.8999674408235259</v>
      </c>
    </row>
    <row r="15" spans="1:8" ht="12.75">
      <c r="A15" t="s">
        <v>76</v>
      </c>
      <c r="C15" s="2">
        <f aca="true" t="shared" si="6" ref="C15:H15">B3+C4+C5+C11+C13</f>
        <v>1.4096451920237782</v>
      </c>
      <c r="D15" s="2">
        <f t="shared" si="6"/>
        <v>2.540033294275145</v>
      </c>
      <c r="E15" s="2">
        <f t="shared" si="6"/>
        <v>3.3104748535632935</v>
      </c>
      <c r="F15" s="2">
        <f t="shared" si="6"/>
        <v>3.552106548076378</v>
      </c>
      <c r="G15" s="2">
        <f t="shared" si="6"/>
        <v>4.259940368117733</v>
      </c>
      <c r="H15" s="2">
        <f t="shared" si="6"/>
        <v>4.677686013994741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7"/>
  <sheetViews>
    <sheetView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3" width="11.28125" style="0" bestFit="1" customWidth="1"/>
    <col min="4" max="4" width="12.28125" style="0" bestFit="1" customWidth="1"/>
    <col min="5" max="5" width="11.28125" style="0" bestFit="1" customWidth="1"/>
    <col min="6" max="7" width="12.28125" style="0" bestFit="1" customWidth="1"/>
    <col min="8" max="8" width="13.421875" style="0" bestFit="1" customWidth="1"/>
    <col min="9" max="9" width="11.28125" style="0" bestFit="1" customWidth="1"/>
    <col min="10" max="10" width="12.28125" style="0" bestFit="1" customWidth="1"/>
    <col min="11" max="13" width="10.28125" style="0" bestFit="1" customWidth="1"/>
    <col min="14" max="14" width="13.421875" style="0" customWidth="1"/>
    <col min="15" max="16" width="10.28125" style="0" bestFit="1" customWidth="1"/>
    <col min="17" max="17" width="12.28125" style="0" bestFit="1" customWidth="1"/>
  </cols>
  <sheetData>
    <row r="1" ht="12.75">
      <c r="A1" s="21" t="s">
        <v>82</v>
      </c>
    </row>
    <row r="2" spans="2:1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</row>
    <row r="3" spans="1:17" ht="12.75">
      <c r="A3" t="s">
        <v>0</v>
      </c>
      <c r="B3" s="1">
        <v>3.503</v>
      </c>
      <c r="C3" s="2">
        <f>B3+C4+C5+C9</f>
        <v>3.4218576782724677</v>
      </c>
      <c r="D3" s="2">
        <f>C3+D4+D5+D9</f>
        <v>3.410053940169697</v>
      </c>
      <c r="E3" s="2">
        <f>D3+E4+E5+E9</f>
        <v>3.306696919246037</v>
      </c>
      <c r="F3" s="2">
        <f>E3+F4+F5+F9</f>
        <v>3.2552019623255637</v>
      </c>
      <c r="G3" s="2">
        <f>F3+G4+G5+G9</f>
        <v>3.5083479591959454</v>
      </c>
      <c r="H3" s="2">
        <f aca="true" t="shared" si="0" ref="H3:M3">G3+H4+H5+H9</f>
        <v>3.8450367810575687</v>
      </c>
      <c r="I3" s="2">
        <f t="shared" si="0"/>
        <v>3.7205708956710093</v>
      </c>
      <c r="J3" s="2">
        <f t="shared" si="0"/>
        <v>3.6601809956763516</v>
      </c>
      <c r="K3" s="2">
        <f t="shared" si="0"/>
        <v>3.5320746608276794</v>
      </c>
      <c r="L3" s="2">
        <f t="shared" si="0"/>
        <v>3.4084520476987104</v>
      </c>
      <c r="M3" s="2">
        <f t="shared" si="0"/>
        <v>3.2891562260292555</v>
      </c>
      <c r="N3" s="2">
        <f>M3+N4+N5+N9</f>
        <v>4.58146975473887</v>
      </c>
      <c r="O3" s="2">
        <f>N3+O4+O5+O9</f>
        <v>4.421118313323009</v>
      </c>
      <c r="P3" s="2">
        <f>O3+P4+P5+P9</f>
        <v>4.266379172356704</v>
      </c>
      <c r="Q3" s="2">
        <f>P3+Q4+Q5+Q9</f>
        <v>4.167972128115994</v>
      </c>
    </row>
    <row r="4" spans="1:17" ht="12.75">
      <c r="A4" t="s">
        <v>1</v>
      </c>
      <c r="C4" s="2">
        <f>-0.01*B3</f>
        <v>-0.03503</v>
      </c>
      <c r="D4" s="2">
        <f>-0.01*C3</f>
        <v>-0.03421857678272468</v>
      </c>
      <c r="E4" s="2">
        <f>-0.01*D3</f>
        <v>-0.03410053940169697</v>
      </c>
      <c r="F4" s="2">
        <f>-0.01*E3</f>
        <v>-0.03306696919246037</v>
      </c>
      <c r="G4" s="2">
        <f>-0.01*F3</f>
        <v>-0.032552019623255636</v>
      </c>
      <c r="H4" s="2">
        <f aca="true" t="shared" si="1" ref="H4:Q4">-0.01*G3</f>
        <v>-0.035083479591959454</v>
      </c>
      <c r="I4" s="2">
        <f t="shared" si="1"/>
        <v>-0.03845036781057569</v>
      </c>
      <c r="J4" s="2">
        <f t="shared" si="1"/>
        <v>-0.0372057089567101</v>
      </c>
      <c r="K4" s="2">
        <f t="shared" si="1"/>
        <v>-0.036601809956763515</v>
      </c>
      <c r="L4" s="2">
        <f t="shared" si="1"/>
        <v>-0.0353207466082768</v>
      </c>
      <c r="M4" s="2">
        <f t="shared" si="1"/>
        <v>-0.0340845204769871</v>
      </c>
      <c r="N4" s="2">
        <f t="shared" si="1"/>
        <v>-0.03289156226029256</v>
      </c>
      <c r="O4" s="2">
        <f t="shared" si="1"/>
        <v>-0.0458146975473887</v>
      </c>
      <c r="P4" s="2">
        <f t="shared" si="1"/>
        <v>-0.044211183133230095</v>
      </c>
      <c r="Q4" s="2">
        <f t="shared" si="1"/>
        <v>-0.04266379172356704</v>
      </c>
    </row>
    <row r="5" spans="1:17" ht="12.75">
      <c r="A5" t="s">
        <v>2</v>
      </c>
      <c r="C5" s="2">
        <f>-0.025*B3</f>
        <v>-0.08757500000000001</v>
      </c>
      <c r="D5" s="2">
        <f>-0.025*C3</f>
        <v>-0.0855464419568117</v>
      </c>
      <c r="E5" s="2">
        <f>-0.025*D3</f>
        <v>-0.08525134850424243</v>
      </c>
      <c r="F5" s="2">
        <f>-0.025*E3</f>
        <v>-0.08266742298115093</v>
      </c>
      <c r="G5" s="2">
        <f>-0.025*F3</f>
        <v>-0.0813800490581391</v>
      </c>
      <c r="H5" s="2">
        <f aca="true" t="shared" si="2" ref="H5:M5">-0.025*G3</f>
        <v>-0.08770869897989864</v>
      </c>
      <c r="I5" s="2">
        <f t="shared" si="2"/>
        <v>-0.09612591952643923</v>
      </c>
      <c r="J5" s="2">
        <f t="shared" si="2"/>
        <v>-0.09301427239177523</v>
      </c>
      <c r="K5" s="2">
        <f t="shared" si="2"/>
        <v>-0.0915045248919088</v>
      </c>
      <c r="L5" s="2">
        <f t="shared" si="2"/>
        <v>-0.088301866520692</v>
      </c>
      <c r="M5" s="2">
        <f t="shared" si="2"/>
        <v>-0.08521130119246777</v>
      </c>
      <c r="N5" s="2">
        <f>-0.025*M3</f>
        <v>-0.08222890565073139</v>
      </c>
      <c r="O5" s="2">
        <f>-0.025*N3</f>
        <v>-0.11453674386847175</v>
      </c>
      <c r="P5" s="2">
        <f>-0.025*O3</f>
        <v>-0.11052795783307523</v>
      </c>
      <c r="Q5" s="2">
        <f>-0.025*P3</f>
        <v>-0.1066594793089176</v>
      </c>
    </row>
    <row r="6" spans="1:17" ht="12.75">
      <c r="A6" t="s">
        <v>3</v>
      </c>
      <c r="B6" s="4"/>
      <c r="C6" s="6">
        <v>8952891</v>
      </c>
      <c r="D6" s="4">
        <v>23894494</v>
      </c>
      <c r="E6" s="4">
        <v>3628560</v>
      </c>
      <c r="F6" s="4">
        <v>14937546</v>
      </c>
      <c r="G6" s="4">
        <v>87490287</v>
      </c>
      <c r="H6" s="4">
        <v>112251675</v>
      </c>
      <c r="I6" s="4">
        <v>2531731</v>
      </c>
      <c r="J6" s="4">
        <v>17923200</v>
      </c>
      <c r="K6" s="4">
        <v>0</v>
      </c>
      <c r="L6" s="4">
        <v>0</v>
      </c>
      <c r="M6" s="4">
        <v>0</v>
      </c>
      <c r="N6" s="4">
        <v>398746149</v>
      </c>
      <c r="O6" s="4">
        <v>0</v>
      </c>
      <c r="P6" s="4">
        <v>0</v>
      </c>
      <c r="Q6" s="4">
        <v>15534464</v>
      </c>
    </row>
    <row r="7" spans="1:17" ht="12.75">
      <c r="A7" t="s">
        <v>4</v>
      </c>
      <c r="C7" s="4">
        <f>0.2*C6</f>
        <v>1790578.2000000002</v>
      </c>
      <c r="D7" s="4">
        <f>0.2*D6</f>
        <v>4778898.8</v>
      </c>
      <c r="E7" s="4">
        <f>0.2*E6</f>
        <v>725712</v>
      </c>
      <c r="F7" s="4">
        <f>0.2*F6</f>
        <v>2987509.2</v>
      </c>
      <c r="G7" s="4">
        <f>0.2*G6</f>
        <v>17498057.400000002</v>
      </c>
      <c r="H7" s="4">
        <f aca="true" t="shared" si="3" ref="H7:M7">0.2*H6</f>
        <v>22450335</v>
      </c>
      <c r="I7" s="4">
        <f t="shared" si="3"/>
        <v>506346.2</v>
      </c>
      <c r="J7" s="4">
        <f t="shared" si="3"/>
        <v>3584640</v>
      </c>
      <c r="K7" s="4">
        <f t="shared" si="3"/>
        <v>0</v>
      </c>
      <c r="L7" s="4">
        <f t="shared" si="3"/>
        <v>0</v>
      </c>
      <c r="M7" s="4">
        <f t="shared" si="3"/>
        <v>0</v>
      </c>
      <c r="N7" s="4">
        <f>0.2*N6</f>
        <v>79749229.8</v>
      </c>
      <c r="O7" s="4">
        <f>0.2*O6</f>
        <v>0</v>
      </c>
      <c r="P7" s="4">
        <f>0.2*P6</f>
        <v>0</v>
      </c>
      <c r="Q7" s="4">
        <f>0.2*Q6</f>
        <v>3106892.8000000003</v>
      </c>
    </row>
    <row r="8" spans="1:17" ht="12.75">
      <c r="A8" t="s">
        <v>5</v>
      </c>
      <c r="B8" s="5">
        <v>3511000</v>
      </c>
      <c r="C8" s="5">
        <f>B8*1.025</f>
        <v>3598774.9999999995</v>
      </c>
      <c r="D8" s="5">
        <f>C8*1.025</f>
        <v>3688744.374999999</v>
      </c>
      <c r="E8" s="5">
        <f>D8*1.025</f>
        <v>3780962.9843749986</v>
      </c>
      <c r="F8" s="5">
        <f>E8*1.025</f>
        <v>3875487.058984373</v>
      </c>
      <c r="G8" s="5">
        <f>F8*1.025</f>
        <v>3972374.235458982</v>
      </c>
      <c r="H8" s="5">
        <f aca="true" t="shared" si="4" ref="H8:M8">G8*1.025</f>
        <v>4071683.5913454564</v>
      </c>
      <c r="I8" s="5">
        <f t="shared" si="4"/>
        <v>4173475.6811290924</v>
      </c>
      <c r="J8" s="5">
        <f t="shared" si="4"/>
        <v>4277812.573157319</v>
      </c>
      <c r="K8" s="5">
        <f t="shared" si="4"/>
        <v>4384757.887486251</v>
      </c>
      <c r="L8" s="5">
        <f t="shared" si="4"/>
        <v>4494376.834673407</v>
      </c>
      <c r="M8" s="5">
        <f t="shared" si="4"/>
        <v>4606736.2555402415</v>
      </c>
      <c r="N8" s="5">
        <f>M8*1.025</f>
        <v>4721904.661928747</v>
      </c>
      <c r="O8" s="5">
        <f>N8*1.025</f>
        <v>4839952.278476965</v>
      </c>
      <c r="P8" s="5">
        <f>O8*1.025</f>
        <v>4960951.0854388885</v>
      </c>
      <c r="Q8" s="5">
        <f>P8*1.025</f>
        <v>5084974.86257486</v>
      </c>
    </row>
    <row r="9" spans="1:17" ht="12.75">
      <c r="A9" t="s">
        <v>6</v>
      </c>
      <c r="C9" s="1">
        <f>C7/C8/12</f>
        <v>0.041462678272467725</v>
      </c>
      <c r="D9" s="1">
        <f>D7/D8/12</f>
        <v>0.10796128063676592</v>
      </c>
      <c r="E9" s="1">
        <f>E7/E8/12</f>
        <v>0.015994866982279334</v>
      </c>
      <c r="F9" s="1">
        <f>F7/F8/12</f>
        <v>0.06423943525313779</v>
      </c>
      <c r="G9" s="1">
        <f>G7/G8/12</f>
        <v>0.36707806555177647</v>
      </c>
      <c r="H9" s="1">
        <f aca="true" t="shared" si="5" ref="H9:M9">H7/H8/12</f>
        <v>0.4594810004334812</v>
      </c>
      <c r="I9" s="1">
        <f t="shared" si="5"/>
        <v>0.010110401950455618</v>
      </c>
      <c r="J9" s="1">
        <f t="shared" si="5"/>
        <v>0.0698300813538271</v>
      </c>
      <c r="K9" s="1">
        <f t="shared" si="5"/>
        <v>0</v>
      </c>
      <c r="L9" s="1">
        <f t="shared" si="5"/>
        <v>0</v>
      </c>
      <c r="M9" s="1">
        <f t="shared" si="5"/>
        <v>0</v>
      </c>
      <c r="N9" s="1">
        <f>N7/N8/12</f>
        <v>1.4074339966206384</v>
      </c>
      <c r="O9" s="1">
        <f>O7/O8/12</f>
        <v>0</v>
      </c>
      <c r="P9" s="1">
        <f>P7/P8/12</f>
        <v>0</v>
      </c>
      <c r="Q9" s="1">
        <f>Q7/Q8/12</f>
        <v>0.05091622679177438</v>
      </c>
    </row>
    <row r="11" spans="1:8" ht="12.75">
      <c r="A11" t="s">
        <v>73</v>
      </c>
      <c r="C11" s="2">
        <f>C9</f>
        <v>0.041462678272467725</v>
      </c>
      <c r="D11" s="2">
        <f>D9</f>
        <v>0.10796128063676592</v>
      </c>
      <c r="E11" s="2">
        <f>E9</f>
        <v>0.015994866982279334</v>
      </c>
      <c r="F11" s="2">
        <f>F9</f>
        <v>0.06423943525313779</v>
      </c>
      <c r="G11" s="2">
        <f>G9</f>
        <v>0.36707806555177647</v>
      </c>
      <c r="H11" s="1">
        <f>((H$6-2756011)*0.2)/(G$8*12)</f>
        <v>0.4594047854412374</v>
      </c>
    </row>
    <row r="13" spans="1:8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  <c r="H13" s="2">
        <f>PostageStamp!H33</f>
        <v>1.8999674408235259</v>
      </c>
    </row>
    <row r="15" spans="1:8" ht="12.75">
      <c r="A15" t="s">
        <v>76</v>
      </c>
      <c r="C15" s="2">
        <f aca="true" t="shared" si="6" ref="C15:H15">B3+C4+C5+C11+C13</f>
        <v>3.611742870296246</v>
      </c>
      <c r="D15" s="2">
        <f t="shared" si="6"/>
        <v>3.9710020143751734</v>
      </c>
      <c r="E15" s="2">
        <f t="shared" si="6"/>
        <v>4.527475148784566</v>
      </c>
      <c r="F15" s="2">
        <f t="shared" si="6"/>
        <v>4.581519178298402</v>
      </c>
      <c r="G15" s="2">
        <f t="shared" si="6"/>
        <v>4.889823484649207</v>
      </c>
      <c r="H15" s="2">
        <f t="shared" si="6"/>
        <v>5.744928006888851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workbookViewId="0" topLeftCell="A64">
      <selection activeCell="A35" sqref="A35"/>
    </sheetView>
  </sheetViews>
  <sheetFormatPr defaultColWidth="9.140625" defaultRowHeight="12.75"/>
  <cols>
    <col min="1" max="1" width="16.7109375" style="0" bestFit="1" customWidth="1"/>
    <col min="2" max="2" width="11.28125" style="0" bestFit="1" customWidth="1"/>
  </cols>
  <sheetData>
    <row r="1" ht="12.75">
      <c r="A1" t="s">
        <v>93</v>
      </c>
    </row>
    <row r="2" spans="3:12" ht="12.75"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3">
        <v>2013</v>
      </c>
      <c r="K2" s="3">
        <v>2014</v>
      </c>
      <c r="L2" s="3">
        <v>2015</v>
      </c>
    </row>
    <row r="3" spans="1:12" ht="12.75">
      <c r="A3" t="s">
        <v>42</v>
      </c>
      <c r="C3" s="1">
        <f>ALTW!D3</f>
        <v>2.302</v>
      </c>
      <c r="D3" s="1">
        <f>ALTW!E3</f>
        <v>2.2427890089422675</v>
      </c>
      <c r="E3" s="1">
        <f>ALTW!F3</f>
        <v>2.1284067694862117</v>
      </c>
      <c r="F3" s="1">
        <f>ALTW!G3</f>
        <v>2.019858024242415</v>
      </c>
      <c r="G3" s="1">
        <f>ALTW!H3</f>
        <v>1.9191194869568138</v>
      </c>
      <c r="H3" s="1">
        <f>ALTW!I3</f>
        <v>1.8212443931220164</v>
      </c>
      <c r="I3" s="1">
        <f>ALTW!J3</f>
        <v>0</v>
      </c>
      <c r="J3" s="1">
        <f>ALTW!K3</f>
        <v>0</v>
      </c>
      <c r="K3" s="1">
        <f>ALTW!L3</f>
        <v>0</v>
      </c>
      <c r="L3" s="1">
        <f>ALTW!M3</f>
        <v>0</v>
      </c>
    </row>
    <row r="4" spans="1:12" ht="12.75">
      <c r="A4" t="s">
        <v>48</v>
      </c>
      <c r="C4" s="1">
        <f>ATCLLC!B3</f>
        <v>2.628</v>
      </c>
      <c r="D4" s="1">
        <f>ATCLLC!C3</f>
        <v>3.0526951620262417</v>
      </c>
      <c r="E4" s="1">
        <f>ATCLLC!D3</f>
        <v>3.45767764138854</v>
      </c>
      <c r="F4" s="1">
        <f>ATCLLC!E3</f>
        <v>3.790345370104793</v>
      </c>
      <c r="G4" s="1">
        <f>ATCLLC!F3</f>
        <v>3.9305713270953833</v>
      </c>
      <c r="H4" s="1">
        <f>ATCLLC!G3</f>
        <v>4.019355394500509</v>
      </c>
      <c r="I4" s="1">
        <f>ATCLLC!H3</f>
        <v>0</v>
      </c>
      <c r="J4" s="1">
        <f>ATCLLC!I3</f>
        <v>0</v>
      </c>
      <c r="K4" s="1">
        <f>ATCLLC!J3</f>
        <v>0</v>
      </c>
      <c r="L4" s="1">
        <f>ATCLLC!K3</f>
        <v>0</v>
      </c>
    </row>
    <row r="5" spans="1:12" ht="12.75">
      <c r="A5" t="s">
        <v>15</v>
      </c>
      <c r="C5" s="2">
        <f>CILCO!B3</f>
        <v>0.847</v>
      </c>
      <c r="D5" s="2">
        <f>CILCO!C3</f>
        <v>0.8062946950389159</v>
      </c>
      <c r="E5" s="2">
        <f>CILCO!D3</f>
        <v>0.7813524054931588</v>
      </c>
      <c r="F5" s="2">
        <f>CILCO!E3</f>
        <v>0.7415034328130076</v>
      </c>
      <c r="G5" s="2">
        <f>CILCO!F3</f>
        <v>0.7105350934110413</v>
      </c>
      <c r="H5" s="2">
        <f>CILCO!G3</f>
        <v>0.6742978036470781</v>
      </c>
      <c r="I5" s="2">
        <f>CILCO!H3</f>
        <v>0</v>
      </c>
      <c r="J5" s="2">
        <f>CILCO!I3</f>
        <v>0</v>
      </c>
      <c r="K5" s="2">
        <f>CILCO!J3</f>
        <v>0</v>
      </c>
      <c r="L5" s="2">
        <f>CILCO!K3</f>
        <v>0</v>
      </c>
    </row>
    <row r="6" spans="1:12" ht="12.75">
      <c r="A6" t="s">
        <v>60</v>
      </c>
      <c r="C6" s="2">
        <f>Duke!B3</f>
        <v>1.358</v>
      </c>
      <c r="D6" s="2">
        <f>Duke!C3</f>
        <v>1.302644410098506</v>
      </c>
      <c r="E6" s="2">
        <f>Duke!D3</f>
        <v>1.3188108865624282</v>
      </c>
      <c r="F6" s="2">
        <f>Duke!E3</f>
        <v>1.2796632312266414</v>
      </c>
      <c r="G6" s="2">
        <f>Duke!F3</f>
        <v>1.2589716313558243</v>
      </c>
      <c r="H6" s="2">
        <f>Duke!G3</f>
        <v>1.1975075560473363</v>
      </c>
      <c r="I6" s="2">
        <f>Duke!H3</f>
        <v>1.1533455114628792</v>
      </c>
      <c r="J6" s="2">
        <f>Duke!I3</f>
        <v>1.0952569919227715</v>
      </c>
      <c r="K6" s="2">
        <f>Duke!J3</f>
        <v>1.0401902692481786</v>
      </c>
      <c r="L6" s="2">
        <f>Duke!K3</f>
        <v>0.9878373903060507</v>
      </c>
    </row>
    <row r="7" spans="1:12" ht="12.75">
      <c r="A7" t="s">
        <v>49</v>
      </c>
      <c r="C7" s="2">
        <f>ColumbiaMO!B3</f>
        <v>0.357</v>
      </c>
      <c r="D7" s="2">
        <f>ColumbiaMO!C3</f>
        <v>0.33879299999999996</v>
      </c>
      <c r="E7" s="2">
        <f>ColumbiaMO!D3</f>
        <v>0.321514557</v>
      </c>
      <c r="F7" s="2">
        <f>ColumbiaMO!E3</f>
        <v>0.30511731459299996</v>
      </c>
      <c r="G7" s="2">
        <f>ColumbiaMO!F3</f>
        <v>0.289556331548757</v>
      </c>
      <c r="H7" s="2">
        <f>ColumbiaMO!G3</f>
        <v>0.2747889586397704</v>
      </c>
      <c r="I7" s="2">
        <f>ColumbiaMO!H3</f>
        <v>0</v>
      </c>
      <c r="J7" s="2">
        <f>ColumbiaMO!I3</f>
        <v>0</v>
      </c>
      <c r="K7" s="2">
        <f>ColumbiaMO!J3</f>
        <v>0</v>
      </c>
      <c r="L7" s="2">
        <f>ColumbiaMO!K3</f>
        <v>0</v>
      </c>
    </row>
    <row r="8" spans="1:12" ht="12.75">
      <c r="A8" t="s">
        <v>29</v>
      </c>
      <c r="C8" s="2">
        <f>CWLP!B3</f>
        <v>1.903</v>
      </c>
      <c r="D8" s="2">
        <f>CWLP!C3</f>
        <v>1.8059470000000002</v>
      </c>
      <c r="E8" s="2">
        <f>CWLP!D3</f>
        <v>1.7138437030000002</v>
      </c>
      <c r="F8" s="2">
        <f>CWLP!E3</f>
        <v>1.6264376741470001</v>
      </c>
      <c r="G8" s="2">
        <f>CWLP!F3</f>
        <v>1.5434893527655031</v>
      </c>
      <c r="H8" s="2">
        <f>CWLP!G3</f>
        <v>1.4647713957744626</v>
      </c>
      <c r="I8" s="2">
        <f>CWLP!H3</f>
        <v>0</v>
      </c>
      <c r="J8" s="2">
        <f>CWLP!I3</f>
        <v>0</v>
      </c>
      <c r="K8" s="2">
        <f>CWLP!J3</f>
        <v>0</v>
      </c>
      <c r="L8" s="2">
        <f>CWLP!K3</f>
        <v>0</v>
      </c>
    </row>
    <row r="9" spans="1:12" ht="12.75">
      <c r="A9" t="s">
        <v>18</v>
      </c>
      <c r="C9" s="2">
        <f>GRE!B3</f>
        <v>2.48</v>
      </c>
      <c r="D9" s="2">
        <f>GRE!C3</f>
        <v>2.6752690211292602</v>
      </c>
      <c r="E9" s="2">
        <f>GRE!D3</f>
        <v>2.667792159682989</v>
      </c>
      <c r="F9" s="2">
        <f>GRE!E3</f>
        <v>2.6291410414322076</v>
      </c>
      <c r="G9" s="2">
        <f>GRE!F3</f>
        <v>2.5520731596711954</v>
      </c>
      <c r="H9" s="2">
        <f>GRE!G3</f>
        <v>2.4219174285279643</v>
      </c>
      <c r="I9" s="2">
        <f>GRE!H3</f>
        <v>3.3832657974541647</v>
      </c>
      <c r="J9" s="2">
        <f>GRE!I3</f>
        <v>3.2794770254805026</v>
      </c>
      <c r="K9" s="2">
        <f>GRE!J3</f>
        <v>0</v>
      </c>
      <c r="L9" s="2">
        <f>GRE!K3</f>
        <v>0</v>
      </c>
    </row>
    <row r="10" spans="1:12" ht="12.75">
      <c r="A10" t="s">
        <v>50</v>
      </c>
      <c r="C10" s="2">
        <f>Ameren!B3</f>
        <v>0.852</v>
      </c>
      <c r="D10" s="2">
        <f>Ameren!C3</f>
        <v>0.8610348952556849</v>
      </c>
      <c r="E10" s="2">
        <f>Ameren!D3</f>
        <v>0.8258675489333388</v>
      </c>
      <c r="F10" s="2">
        <f>Ameren!E3</f>
        <v>0.8468143060500248</v>
      </c>
      <c r="G10" s="2">
        <f>Ameren!F3</f>
        <v>0.8166764174248239</v>
      </c>
      <c r="H10" s="2">
        <f>Ameren!G3</f>
        <v>0.8239334284269295</v>
      </c>
      <c r="I10" s="2">
        <f>Ameren!H3</f>
        <v>0</v>
      </c>
      <c r="J10" s="2">
        <f>Ameren!I3</f>
        <v>0</v>
      </c>
      <c r="K10" s="2">
        <f>Ameren!J3</f>
        <v>0</v>
      </c>
      <c r="L10" s="2">
        <f>Ameren!K3</f>
        <v>0</v>
      </c>
    </row>
    <row r="11" spans="1:12" ht="12.75">
      <c r="A11" t="s">
        <v>51</v>
      </c>
      <c r="C11" s="2">
        <f>ATSI!B3</f>
        <v>1.18</v>
      </c>
      <c r="D11" s="2">
        <f>ATSI!C3</f>
        <v>1.1386999999999998</v>
      </c>
      <c r="E11" s="2">
        <f>ATSI!D3</f>
        <v>1.1054120085455075</v>
      </c>
      <c r="F11" s="2">
        <f>ATSI!E3</f>
        <v>1.0786127473107112</v>
      </c>
      <c r="G11" s="2">
        <f>ATSI!F3</f>
        <v>1.0408613011548362</v>
      </c>
      <c r="H11" s="2">
        <f>ATSI!G3</f>
        <v>1.004431155614417</v>
      </c>
      <c r="I11" s="2">
        <f>ATSI!H3</f>
        <v>0</v>
      </c>
      <c r="J11" s="2">
        <f>ATSI!I3</f>
        <v>0</v>
      </c>
      <c r="K11" s="2">
        <f>ATSI!J3</f>
        <v>0</v>
      </c>
      <c r="L11" s="2">
        <f>ATSI!K3</f>
        <v>0</v>
      </c>
    </row>
    <row r="12" spans="1:12" ht="12.75">
      <c r="A12" t="s">
        <v>17</v>
      </c>
      <c r="C12" s="2">
        <f>NIPSCO!B3</f>
        <v>1.942</v>
      </c>
      <c r="D12" s="2">
        <f>NIPSCO!C3</f>
        <v>1.8858298329142564</v>
      </c>
      <c r="E12" s="2">
        <f>NIPSCO!D3</f>
        <v>1.8288477008710144</v>
      </c>
      <c r="F12" s="2">
        <f>NIPSCO!E3</f>
        <v>1.7760236185483396</v>
      </c>
      <c r="G12" s="2">
        <f>NIPSCO!F3</f>
        <v>1.7138627918991476</v>
      </c>
      <c r="H12" s="2">
        <f>NIPSCO!G3</f>
        <v>1.6538775941826773</v>
      </c>
      <c r="I12" s="2">
        <f>NIPSCO!H3</f>
        <v>0</v>
      </c>
      <c r="J12" s="2">
        <f>NIPSCO!I3</f>
        <v>0</v>
      </c>
      <c r="K12" s="2">
        <f>NIPSCO!J3</f>
        <v>0</v>
      </c>
      <c r="L12" s="2">
        <f>NIPSCO!K3</f>
        <v>0</v>
      </c>
    </row>
    <row r="13" spans="1:12" ht="12.75">
      <c r="A13" t="s">
        <v>52</v>
      </c>
      <c r="C13" s="2">
        <f>Hoosier!B3</f>
        <v>3.17</v>
      </c>
      <c r="D13" s="2">
        <f>Hoosier!C3</f>
        <v>3.05905</v>
      </c>
      <c r="E13" s="2">
        <f>Hoosier!D3</f>
        <v>2.95198325</v>
      </c>
      <c r="F13" s="2">
        <f>Hoosier!E3</f>
        <v>2.84866383625</v>
      </c>
      <c r="G13" s="2">
        <f>Hoosier!F3</f>
        <v>2.797812435165334</v>
      </c>
      <c r="H13" s="2">
        <f>Hoosier!G3</f>
        <v>2.6998889999345472</v>
      </c>
      <c r="I13" s="2">
        <f>Hoosier!H3</f>
        <v>0</v>
      </c>
      <c r="J13" s="2">
        <f>Hoosier!I3</f>
        <v>0</v>
      </c>
      <c r="K13" s="2">
        <f>Hoosier!J3</f>
        <v>0</v>
      </c>
      <c r="L13" s="2">
        <f>Hoosier!K3</f>
        <v>0</v>
      </c>
    </row>
    <row r="14" spans="1:12" ht="12.75">
      <c r="A14" t="s">
        <v>53</v>
      </c>
      <c r="C14" s="2">
        <f>'IP'!B3</f>
        <v>0.935</v>
      </c>
      <c r="D14" s="2">
        <f>'IP'!C3</f>
        <v>0.913564478164059</v>
      </c>
      <c r="E14" s="2">
        <f>'IP'!D3</f>
        <v>0.9151944144104971</v>
      </c>
      <c r="F14" s="2">
        <f>'IP'!E3</f>
        <v>1.330315552342904</v>
      </c>
      <c r="G14" s="2">
        <f>'IP'!F3</f>
        <v>1.4039069654192888</v>
      </c>
      <c r="H14" s="2">
        <f>'IP'!G3</f>
        <v>1.3547702216296136</v>
      </c>
      <c r="I14" s="2">
        <f>'IP'!H3</f>
        <v>0</v>
      </c>
      <c r="J14" s="2">
        <f>'IP'!I3</f>
        <v>0</v>
      </c>
      <c r="K14" s="2">
        <f>'IP'!J3</f>
        <v>0</v>
      </c>
      <c r="L14" s="2">
        <f>'IP'!K3</f>
        <v>0</v>
      </c>
    </row>
    <row r="15" spans="1:12" ht="12.75">
      <c r="A15" t="s">
        <v>28</v>
      </c>
      <c r="C15" s="2">
        <f>ITC!B3</f>
        <v>1.765</v>
      </c>
      <c r="D15" s="2">
        <f>ITC!C3</f>
        <v>1.79844765569036</v>
      </c>
      <c r="E15" s="2">
        <f>ITC!D3</f>
        <v>1.8670389865398374</v>
      </c>
      <c r="F15" s="2">
        <f>ITC!E3</f>
        <v>2.0219959442044235</v>
      </c>
      <c r="G15" s="2">
        <f>ITC!F3</f>
        <v>1.9996057826196785</v>
      </c>
      <c r="H15" s="2">
        <f>ITC!G3</f>
        <v>2.0061596405508526</v>
      </c>
      <c r="I15" s="2">
        <f>ITC!H3</f>
        <v>0</v>
      </c>
      <c r="J15" s="2">
        <f>ITC!I3</f>
        <v>0</v>
      </c>
      <c r="K15" s="2">
        <f>ITC!J3</f>
        <v>0</v>
      </c>
      <c r="L15" s="2">
        <f>ITC!K3</f>
        <v>0</v>
      </c>
    </row>
    <row r="16" spans="1:12" ht="12.75">
      <c r="A16" t="s">
        <v>54</v>
      </c>
      <c r="C16" s="2">
        <f>IPL!B3</f>
        <v>0.729</v>
      </c>
      <c r="D16" s="2">
        <f>IPL!C3</f>
        <v>0.7136727987429474</v>
      </c>
      <c r="E16" s="2">
        <f>IPL!D3</f>
        <v>0.7141987940540332</v>
      </c>
      <c r="F16" s="2">
        <f>IPL!E3</f>
        <v>0.689201836262142</v>
      </c>
      <c r="G16" s="2">
        <f>IPL!F3</f>
        <v>0.6650797719929671</v>
      </c>
      <c r="H16" s="2">
        <f>IPL!G3</f>
        <v>0.6418019799732132</v>
      </c>
      <c r="I16" s="2">
        <f>IPL!H3</f>
        <v>0.6193389106741508</v>
      </c>
      <c r="J16" s="2">
        <f>IPL!I3</f>
        <v>0.6221704686219195</v>
      </c>
      <c r="K16" s="2">
        <f>IPL!J3</f>
        <v>0</v>
      </c>
      <c r="L16" s="2">
        <f>IPL!K3</f>
        <v>0</v>
      </c>
    </row>
    <row r="17" spans="1:12" ht="12.75">
      <c r="A17" t="s">
        <v>55</v>
      </c>
      <c r="C17" s="2">
        <f>METC!B3</f>
        <v>1.694</v>
      </c>
      <c r="D17" s="2">
        <f>METC!C3</f>
        <v>1.6664306263469928</v>
      </c>
      <c r="E17" s="2">
        <f>METC!D3</f>
        <v>1.6751041574178198</v>
      </c>
      <c r="F17" s="2">
        <f>METC!E3</f>
        <v>1.6560125907403023</v>
      </c>
      <c r="G17" s="2">
        <f>METC!F3</f>
        <v>1.6521600995331926</v>
      </c>
      <c r="H17" s="2">
        <f>METC!G3</f>
        <v>1.64152969443239</v>
      </c>
      <c r="I17" s="2">
        <f>METC!H3</f>
        <v>1.7901275236082097</v>
      </c>
      <c r="J17" s="2">
        <f>METC!I3</f>
        <v>1.7737732851688293</v>
      </c>
      <c r="K17" s="2">
        <f>METC!J3</f>
        <v>1.7563816292640213</v>
      </c>
      <c r="L17" s="2">
        <f>METC!K3</f>
        <v>1.6949082722397806</v>
      </c>
    </row>
    <row r="18" spans="1:12" ht="12.75">
      <c r="A18" t="s">
        <v>26</v>
      </c>
      <c r="C18" s="2">
        <f>MP!B3</f>
        <v>1.456</v>
      </c>
      <c r="D18" s="2">
        <f>MP!C3</f>
        <v>1.40504</v>
      </c>
      <c r="E18" s="2">
        <f>MP!D3</f>
        <v>1.3558636000000002</v>
      </c>
      <c r="F18" s="2">
        <f>MP!E3</f>
        <v>1.6841981438856868</v>
      </c>
      <c r="G18" s="2">
        <f>MP!F3</f>
        <v>1.7026919628278063</v>
      </c>
      <c r="H18" s="2">
        <f>MP!G3</f>
        <v>1.9908299248434638</v>
      </c>
      <c r="I18" s="2">
        <f>MP!H3</f>
        <v>0</v>
      </c>
      <c r="J18" s="2">
        <f>MP!I3</f>
        <v>0</v>
      </c>
      <c r="K18" s="2">
        <f>MP!J3</f>
        <v>0</v>
      </c>
      <c r="L18" s="2">
        <f>MP!K3</f>
        <v>0</v>
      </c>
    </row>
    <row r="19" spans="1:12" ht="12.75">
      <c r="A19" t="s">
        <v>24</v>
      </c>
      <c r="C19" s="2">
        <f>MDU!B3</f>
        <v>2.867</v>
      </c>
      <c r="D19" s="2">
        <f>MDU!C3</f>
        <v>2.766655</v>
      </c>
      <c r="E19" s="2">
        <f>MDU!D3</f>
        <v>2.6802299833011753</v>
      </c>
      <c r="F19" s="2">
        <f>MDU!E3</f>
        <v>2.5864219338856342</v>
      </c>
      <c r="G19" s="2">
        <f>MDU!F3</f>
        <v>2.6749218604884857</v>
      </c>
      <c r="H19" s="2">
        <f>MDU!G3</f>
        <v>2.5812995953713886</v>
      </c>
      <c r="I19" s="2">
        <f>MDU!H3</f>
        <v>0</v>
      </c>
      <c r="J19" s="2">
        <f>MDU!I3</f>
        <v>0</v>
      </c>
      <c r="K19" s="2">
        <f>MDU!J3</f>
        <v>0</v>
      </c>
      <c r="L19" s="2">
        <f>MDU!K3</f>
        <v>0</v>
      </c>
    </row>
    <row r="20" spans="1:12" ht="12.75">
      <c r="A20" t="s">
        <v>56</v>
      </c>
      <c r="C20" s="2">
        <f>NSP!B3</f>
        <v>1.942</v>
      </c>
      <c r="D20" s="2">
        <f>NSP!C3</f>
        <v>1.888415999083092</v>
      </c>
      <c r="E20" s="2">
        <f>NSP!D3</f>
        <v>2.1869722248354773</v>
      </c>
      <c r="F20" s="2">
        <f>NSP!E3</f>
        <v>2.1459456448220653</v>
      </c>
      <c r="G20" s="2">
        <f>NSP!F3</f>
        <v>2.1382094793755377</v>
      </c>
      <c r="H20" s="2">
        <f>NSP!G3</f>
        <v>2.5921970685241282</v>
      </c>
      <c r="I20" s="2">
        <f>NSP!H3</f>
        <v>0</v>
      </c>
      <c r="J20" s="2">
        <f>NSP!I3</f>
        <v>0</v>
      </c>
      <c r="K20" s="2">
        <f>NSP!J3</f>
        <v>0</v>
      </c>
      <c r="L20" s="2">
        <f>NSP!K3</f>
        <v>0</v>
      </c>
    </row>
    <row r="21" spans="1:12" ht="12.75">
      <c r="A21" t="s">
        <v>20</v>
      </c>
      <c r="C21" s="2">
        <f>OTP!B3</f>
        <v>3.516</v>
      </c>
      <c r="D21" s="2">
        <f>OTP!C3</f>
        <v>3.3929400000000003</v>
      </c>
      <c r="E21" s="2">
        <f>OTP!D3</f>
        <v>3.2840743681567433</v>
      </c>
      <c r="F21" s="2">
        <f>OTP!E3</f>
        <v>3.1895650584138004</v>
      </c>
      <c r="G21" s="2">
        <f>OTP!F3</f>
        <v>3.0779302813693175</v>
      </c>
      <c r="H21" s="2">
        <f>OTP!G3</f>
        <v>5.38289573032108</v>
      </c>
      <c r="I21" s="2">
        <f>OTP!H3</f>
        <v>0</v>
      </c>
      <c r="J21" s="2">
        <f>OTP!I3</f>
        <v>0</v>
      </c>
      <c r="K21" s="2">
        <f>OTP!J3</f>
        <v>0</v>
      </c>
      <c r="L21" s="2">
        <f>OTP!K3</f>
        <v>0</v>
      </c>
    </row>
    <row r="22" spans="1:12" ht="12.75">
      <c r="A22" t="s">
        <v>25</v>
      </c>
      <c r="C22" s="2">
        <f>SIPC!B3</f>
        <v>1.916</v>
      </c>
      <c r="D22" s="2">
        <f>SIPC!C3</f>
        <v>2.184714728009671</v>
      </c>
      <c r="E22" s="2">
        <f>SIPC!D3</f>
        <v>2.1082497125293322</v>
      </c>
      <c r="F22" s="2">
        <f>SIPC!E3</f>
        <v>2.034460972590806</v>
      </c>
      <c r="G22" s="2">
        <f>SIPC!F3</f>
        <v>1.9632548385501276</v>
      </c>
      <c r="H22" s="2">
        <f>SIPC!G3</f>
        <v>1.894540919200873</v>
      </c>
      <c r="I22" s="2">
        <f>SIPC!H3</f>
        <v>0</v>
      </c>
      <c r="J22" s="2">
        <f>SIPC!I3</f>
        <v>0</v>
      </c>
      <c r="K22" s="2">
        <f>SIPC!J3</f>
        <v>0</v>
      </c>
      <c r="L22" s="2">
        <f>SIPC!K3</f>
        <v>0</v>
      </c>
    </row>
    <row r="23" spans="1:12" ht="12.75">
      <c r="A23" t="s">
        <v>57</v>
      </c>
      <c r="C23" s="2">
        <f>SMMPA!B3</f>
        <v>2.519</v>
      </c>
      <c r="D23" s="2">
        <f>SMMPA!C3</f>
        <v>2.430835</v>
      </c>
      <c r="E23" s="2">
        <f>SMMPA!D3</f>
        <v>2.3457557749999998</v>
      </c>
      <c r="F23" s="2">
        <f>SMMPA!E3</f>
        <v>2.263654322875</v>
      </c>
      <c r="G23" s="2">
        <f>SMMPA!F3</f>
        <v>2.184426421574375</v>
      </c>
      <c r="H23" s="2">
        <f>SMMPA!G3</f>
        <v>2.107971496819272</v>
      </c>
      <c r="I23" s="2">
        <f>SMMPA!H3</f>
        <v>0</v>
      </c>
      <c r="J23" s="2">
        <f>SMMPA!I3</f>
        <v>0</v>
      </c>
      <c r="K23" s="2">
        <f>SMMPA!J3</f>
        <v>0</v>
      </c>
      <c r="L23" s="2">
        <f>SMMPA!K3</f>
        <v>0</v>
      </c>
    </row>
    <row r="24" spans="1:12" ht="12.75">
      <c r="A24" t="s">
        <v>58</v>
      </c>
      <c r="C24" s="2">
        <f>Vectren!B3</f>
        <v>1.264</v>
      </c>
      <c r="D24" s="2">
        <f>Vectren!C3</f>
        <v>1.4289095354417172</v>
      </c>
      <c r="E24" s="2">
        <f>Vectren!D3</f>
        <v>1.9790852200696687</v>
      </c>
      <c r="F24" s="2">
        <f>Vectren!E3</f>
        <v>2.0896966240247643</v>
      </c>
      <c r="G24" s="2">
        <f>Vectren!F3</f>
        <v>2.982865121932095</v>
      </c>
      <c r="H24" s="2">
        <f>Vectren!G3</f>
        <v>2.8784648426644717</v>
      </c>
      <c r="I24" s="2">
        <f>Vectren!H3</f>
        <v>3.799153539152161</v>
      </c>
      <c r="J24" s="2">
        <f>Vectren!I3</f>
        <v>0</v>
      </c>
      <c r="K24" s="2">
        <f>Vectren!J3</f>
        <v>0</v>
      </c>
      <c r="L24" s="2">
        <f>Vectren!K3</f>
        <v>0</v>
      </c>
    </row>
    <row r="25" spans="1:12" ht="12.75">
      <c r="A25" t="s">
        <v>59</v>
      </c>
      <c r="C25" s="2">
        <f>MH!B3</f>
        <v>3.503</v>
      </c>
      <c r="D25" s="2">
        <f>MH!C3</f>
        <v>3.4218576782724677</v>
      </c>
      <c r="E25" s="2">
        <f>MH!D3</f>
        <v>3.410053940169697</v>
      </c>
      <c r="F25" s="2">
        <f>MH!E3</f>
        <v>3.306696919246037</v>
      </c>
      <c r="G25" s="2">
        <f>MH!F3</f>
        <v>3.2552019623255637</v>
      </c>
      <c r="H25" s="2">
        <f>MH!G3</f>
        <v>3.5083479591959454</v>
      </c>
      <c r="I25" s="2">
        <f>MH!H3</f>
        <v>3.8450367810575687</v>
      </c>
      <c r="J25" s="2">
        <f>MH!I3</f>
        <v>3.7205708956710093</v>
      </c>
      <c r="K25" s="2">
        <f>MH!J3</f>
        <v>3.6601809956763516</v>
      </c>
      <c r="L25" s="2">
        <f>MH!K3</f>
        <v>3.5320746608276794</v>
      </c>
    </row>
    <row r="27" spans="1:8" ht="12.75">
      <c r="A27" t="s">
        <v>61</v>
      </c>
      <c r="C27" s="2">
        <f aca="true" t="shared" si="0" ref="C27:H27">SUM(C3:C25)/23</f>
        <v>1.8749999999999998</v>
      </c>
      <c r="D27" s="2">
        <f t="shared" si="0"/>
        <v>1.877414370658976</v>
      </c>
      <c r="E27" s="2">
        <f t="shared" si="0"/>
        <v>1.8966665133672815</v>
      </c>
      <c r="F27" s="2">
        <f t="shared" si="0"/>
        <v>1.9104498321744223</v>
      </c>
      <c r="G27" s="2">
        <f t="shared" si="0"/>
        <v>1.9249471250633519</v>
      </c>
      <c r="H27" s="2">
        <f t="shared" si="0"/>
        <v>2.027687964432365</v>
      </c>
    </row>
    <row r="29" spans="1:2" ht="12.75">
      <c r="A29" s="19" t="s">
        <v>62</v>
      </c>
      <c r="B29" s="19" t="s">
        <v>63</v>
      </c>
    </row>
    <row r="30" spans="1:2" ht="12.75">
      <c r="A30" s="19"/>
      <c r="B30" s="19" t="s">
        <v>64</v>
      </c>
    </row>
    <row r="31" spans="1:2" ht="12.75">
      <c r="A31" s="19"/>
      <c r="B31" s="19" t="s">
        <v>65</v>
      </c>
    </row>
    <row r="32" spans="1:2" ht="12.75">
      <c r="A32" s="19"/>
      <c r="B32" s="19" t="s">
        <v>66</v>
      </c>
    </row>
    <row r="33" spans="1:2" ht="12.75">
      <c r="A33" s="19"/>
      <c r="B33" s="19" t="s">
        <v>67</v>
      </c>
    </row>
    <row r="34" spans="1:2" ht="12.75">
      <c r="A34" s="19"/>
      <c r="B34" s="19"/>
    </row>
    <row r="35" spans="1:2" ht="12.75">
      <c r="A35" s="19" t="s">
        <v>94</v>
      </c>
      <c r="B35" s="19"/>
    </row>
    <row r="36" spans="2:12" ht="12.75">
      <c r="B36" s="22" t="s">
        <v>68</v>
      </c>
      <c r="C36" s="3">
        <v>2006</v>
      </c>
      <c r="D36" s="3">
        <v>2007</v>
      </c>
      <c r="E36" s="3">
        <v>2008</v>
      </c>
      <c r="F36" s="3">
        <v>2009</v>
      </c>
      <c r="G36" s="3">
        <v>2010</v>
      </c>
      <c r="H36" s="3">
        <v>2011</v>
      </c>
      <c r="I36" s="3">
        <v>2012</v>
      </c>
      <c r="J36" s="3">
        <v>2013</v>
      </c>
      <c r="K36" s="3">
        <v>2014</v>
      </c>
      <c r="L36" s="3">
        <v>2015</v>
      </c>
    </row>
    <row r="37" spans="1:12" ht="12.75">
      <c r="A37" t="s">
        <v>42</v>
      </c>
      <c r="B37" s="5">
        <v>2908001</v>
      </c>
      <c r="C37" s="1">
        <f>C3*(B37/B$61)</f>
        <v>0.07676448083629318</v>
      </c>
      <c r="D37" s="1">
        <f>D3*(B37/B$61)</f>
        <v>0.0747899799725446</v>
      </c>
      <c r="E37" s="1">
        <f>E3*(B37/B$61)</f>
        <v>0.07097569099394482</v>
      </c>
      <c r="F37" s="1">
        <f>F3*(B37/B$61)</f>
        <v>0.06735593075325363</v>
      </c>
      <c r="G37" s="1">
        <f>G3*(B37/B$61)</f>
        <v>0.06399661645484497</v>
      </c>
      <c r="H37" s="1">
        <f>H3*(B37/B$61)</f>
        <v>0.06073278901564789</v>
      </c>
      <c r="I37" s="1"/>
      <c r="J37" s="1"/>
      <c r="K37" s="1"/>
      <c r="L37" s="1"/>
    </row>
    <row r="38" spans="1:12" ht="12.75">
      <c r="A38" t="s">
        <v>48</v>
      </c>
      <c r="B38" s="5">
        <v>10185826</v>
      </c>
      <c r="C38" s="1">
        <f aca="true" t="shared" si="1" ref="C38:C59">C4*(B38/B$61)</f>
        <v>0.30696019367411587</v>
      </c>
      <c r="D38" s="1">
        <f aca="true" t="shared" si="2" ref="D38:D59">D4*(B38/B$61)</f>
        <v>0.3565661712951338</v>
      </c>
      <c r="E38" s="1">
        <f aca="true" t="shared" si="3" ref="E38:E59">E4*(B38/B$61)</f>
        <v>0.4038696341184499</v>
      </c>
      <c r="F38" s="1">
        <f aca="true" t="shared" si="4" ref="F38:F59">F4*(B38/B$61)</f>
        <v>0.44272646457349907</v>
      </c>
      <c r="G38" s="1">
        <f aca="true" t="shared" si="5" ref="G38:G59">G4*(B38/B$61)</f>
        <v>0.4591053789250858</v>
      </c>
      <c r="H38" s="1">
        <f aca="true" t="shared" si="6" ref="H38:H59">H4*(B38/B$61)</f>
        <v>0.4694756888664302</v>
      </c>
      <c r="I38" s="1"/>
      <c r="J38" s="1"/>
      <c r="K38" s="1"/>
      <c r="L38" s="1"/>
    </row>
    <row r="39" spans="1:12" ht="12.75">
      <c r="A39" t="s">
        <v>15</v>
      </c>
      <c r="B39" s="5">
        <v>1022584</v>
      </c>
      <c r="C39" s="1">
        <f t="shared" si="1"/>
        <v>0.00993214039364331</v>
      </c>
      <c r="D39" s="1">
        <f t="shared" si="2"/>
        <v>0.009454819492061785</v>
      </c>
      <c r="E39" s="1">
        <f t="shared" si="3"/>
        <v>0.009162339773635148</v>
      </c>
      <c r="F39" s="1">
        <f t="shared" si="4"/>
        <v>0.008695060445179753</v>
      </c>
      <c r="G39" s="1">
        <f t="shared" si="5"/>
        <v>0.008331917712360007</v>
      </c>
      <c r="H39" s="1">
        <f t="shared" si="6"/>
        <v>0.007906989909029646</v>
      </c>
      <c r="I39" s="1"/>
      <c r="J39" s="1"/>
      <c r="K39" s="1"/>
      <c r="L39" s="1"/>
    </row>
    <row r="40" spans="1:12" ht="12.75">
      <c r="A40" t="s">
        <v>60</v>
      </c>
      <c r="B40" s="5">
        <v>9575917</v>
      </c>
      <c r="C40" s="1">
        <f t="shared" si="1"/>
        <v>0.14912161186575504</v>
      </c>
      <c r="D40" s="1">
        <f t="shared" si="2"/>
        <v>0.14304302954477527</v>
      </c>
      <c r="E40" s="1">
        <f t="shared" si="3"/>
        <v>0.1448182659427796</v>
      </c>
      <c r="F40" s="1">
        <f t="shared" si="4"/>
        <v>0.14051947252272248</v>
      </c>
      <c r="G40" s="1">
        <f t="shared" si="5"/>
        <v>0.13824733355010285</v>
      </c>
      <c r="H40" s="1">
        <f t="shared" si="6"/>
        <v>0.1314979801025035</v>
      </c>
      <c r="I40" s="1"/>
      <c r="J40" s="1"/>
      <c r="K40" s="1"/>
      <c r="L40" s="1"/>
    </row>
    <row r="41" spans="1:12" ht="12.75">
      <c r="A41" t="s">
        <v>49</v>
      </c>
      <c r="B41" s="5">
        <v>207000</v>
      </c>
      <c r="C41" s="1">
        <f t="shared" si="1"/>
        <v>0.000847420581970921</v>
      </c>
      <c r="D41" s="1">
        <f t="shared" si="2"/>
        <v>0.000804202132290404</v>
      </c>
      <c r="E41" s="1">
        <f t="shared" si="3"/>
        <v>0.0007631878235435935</v>
      </c>
      <c r="F41" s="1">
        <f t="shared" si="4"/>
        <v>0.0007242652445428701</v>
      </c>
      <c r="G41" s="1">
        <f t="shared" si="5"/>
        <v>0.0006873277170711838</v>
      </c>
      <c r="H41" s="1">
        <f t="shared" si="6"/>
        <v>0.0006522740035005534</v>
      </c>
      <c r="I41" s="1"/>
      <c r="J41" s="1"/>
      <c r="K41" s="1"/>
      <c r="L41" s="1"/>
    </row>
    <row r="42" spans="1:12" ht="12.75">
      <c r="A42" t="s">
        <v>29</v>
      </c>
      <c r="B42" s="5">
        <v>325000</v>
      </c>
      <c r="C42" s="1">
        <f t="shared" si="1"/>
        <v>0.007092226477144012</v>
      </c>
      <c r="D42" s="1">
        <f t="shared" si="2"/>
        <v>0.006730522926809668</v>
      </c>
      <c r="E42" s="1">
        <f t="shared" si="3"/>
        <v>0.006387266257542375</v>
      </c>
      <c r="F42" s="1">
        <f t="shared" si="4"/>
        <v>0.006061515678407714</v>
      </c>
      <c r="G42" s="1">
        <f t="shared" si="5"/>
        <v>0.005752378378808921</v>
      </c>
      <c r="H42" s="1">
        <f t="shared" si="6"/>
        <v>0.005459007081489666</v>
      </c>
      <c r="I42" s="1"/>
      <c r="J42" s="1"/>
      <c r="K42" s="1"/>
      <c r="L42" s="1"/>
    </row>
    <row r="43" spans="1:12" ht="12.75">
      <c r="A43" t="s">
        <v>18</v>
      </c>
      <c r="B43" s="5">
        <v>953326</v>
      </c>
      <c r="C43" s="1">
        <f t="shared" si="1"/>
        <v>0.027111501141361388</v>
      </c>
      <c r="D43" s="1">
        <f t="shared" si="2"/>
        <v>0.02924619319346561</v>
      </c>
      <c r="E43" s="1">
        <f t="shared" si="3"/>
        <v>0.029164455718613033</v>
      </c>
      <c r="F43" s="1">
        <f t="shared" si="4"/>
        <v>0.02874191949418926</v>
      </c>
      <c r="G43" s="1">
        <f t="shared" si="5"/>
        <v>0.027899409024702976</v>
      </c>
      <c r="H43" s="1">
        <f t="shared" si="6"/>
        <v>0.026476539164443123</v>
      </c>
      <c r="I43" s="1"/>
      <c r="J43" s="1"/>
      <c r="K43" s="1"/>
      <c r="L43" s="1"/>
    </row>
    <row r="44" spans="1:12" ht="12.75">
      <c r="A44" t="s">
        <v>50</v>
      </c>
      <c r="B44" s="5">
        <v>9407567</v>
      </c>
      <c r="C44" s="1">
        <f t="shared" si="1"/>
        <v>0.09191308879097156</v>
      </c>
      <c r="D44" s="1">
        <f t="shared" si="2"/>
        <v>0.09288776617342802</v>
      </c>
      <c r="E44" s="1">
        <f t="shared" si="3"/>
        <v>0.08909394055715027</v>
      </c>
      <c r="F44" s="1">
        <f t="shared" si="4"/>
        <v>0.0913536602129588</v>
      </c>
      <c r="G44" s="1">
        <f t="shared" si="5"/>
        <v>0.08810240853082206</v>
      </c>
      <c r="H44" s="1">
        <f t="shared" si="6"/>
        <v>0.08888528916062674</v>
      </c>
      <c r="I44" s="1"/>
      <c r="J44" s="1"/>
      <c r="K44" s="1"/>
      <c r="L44" s="1"/>
    </row>
    <row r="45" spans="1:12" ht="12.75">
      <c r="A45" t="s">
        <v>51</v>
      </c>
      <c r="B45" s="5">
        <v>10940249</v>
      </c>
      <c r="C45" s="1">
        <f t="shared" si="1"/>
        <v>0.14803679029343303</v>
      </c>
      <c r="D45" s="1">
        <f t="shared" si="2"/>
        <v>0.14285550263316288</v>
      </c>
      <c r="E45" s="1">
        <f t="shared" si="3"/>
        <v>0.13867936076007958</v>
      </c>
      <c r="F45" s="1">
        <f t="shared" si="4"/>
        <v>0.1353172619334402</v>
      </c>
      <c r="G45" s="1">
        <f t="shared" si="5"/>
        <v>0.13058115776576978</v>
      </c>
      <c r="H45" s="1">
        <f t="shared" si="6"/>
        <v>0.12601081724396784</v>
      </c>
      <c r="I45" s="1"/>
      <c r="J45" s="1"/>
      <c r="K45" s="1"/>
      <c r="L45" s="1"/>
    </row>
    <row r="46" spans="1:12" ht="12.75">
      <c r="A46" t="s">
        <v>17</v>
      </c>
      <c r="B46" s="5">
        <v>2860240</v>
      </c>
      <c r="C46" s="1">
        <f t="shared" si="1"/>
        <v>0.06369599816670288</v>
      </c>
      <c r="D46" s="1">
        <f t="shared" si="2"/>
        <v>0.06185366301751807</v>
      </c>
      <c r="E46" s="1">
        <f t="shared" si="3"/>
        <v>0.059984696087465976</v>
      </c>
      <c r="F46" s="1">
        <f t="shared" si="4"/>
        <v>0.058252109758535564</v>
      </c>
      <c r="G46" s="1">
        <f t="shared" si="5"/>
        <v>0.056213285916986815</v>
      </c>
      <c r="H46" s="1">
        <f t="shared" si="6"/>
        <v>0.05424582090989227</v>
      </c>
      <c r="I46" s="1"/>
      <c r="J46" s="1"/>
      <c r="K46" s="1"/>
      <c r="L46" s="1"/>
    </row>
    <row r="47" spans="1:12" ht="12.75">
      <c r="A47" t="s">
        <v>52</v>
      </c>
      <c r="B47" s="5">
        <v>571800</v>
      </c>
      <c r="C47" s="1">
        <f t="shared" si="1"/>
        <v>0.020785661935939365</v>
      </c>
      <c r="D47" s="1">
        <f t="shared" si="2"/>
        <v>0.020058163768181488</v>
      </c>
      <c r="E47" s="1">
        <f t="shared" si="3"/>
        <v>0.019356128036295137</v>
      </c>
      <c r="F47" s="1">
        <f t="shared" si="4"/>
        <v>0.018678663555024805</v>
      </c>
      <c r="G47" s="1">
        <f t="shared" si="5"/>
        <v>0.018345231368300918</v>
      </c>
      <c r="H47" s="1">
        <f t="shared" si="6"/>
        <v>0.017703148270410383</v>
      </c>
      <c r="I47" s="1"/>
      <c r="J47" s="1"/>
      <c r="K47" s="1"/>
      <c r="L47" s="1"/>
    </row>
    <row r="48" spans="1:12" ht="12.75">
      <c r="A48" t="s">
        <v>53</v>
      </c>
      <c r="B48" s="5">
        <v>3517917</v>
      </c>
      <c r="C48" s="1">
        <f t="shared" si="1"/>
        <v>0.03771878075238022</v>
      </c>
      <c r="D48" s="1">
        <f t="shared" si="2"/>
        <v>0.03685405160966073</v>
      </c>
      <c r="E48" s="1">
        <f t="shared" si="3"/>
        <v>0.03691980477321128</v>
      </c>
      <c r="F48" s="1">
        <f t="shared" si="4"/>
        <v>0.05366618251369368</v>
      </c>
      <c r="G48" s="1">
        <f t="shared" si="5"/>
        <v>0.05663492943891935</v>
      </c>
      <c r="H48" s="1">
        <f t="shared" si="6"/>
        <v>0.05465270690855717</v>
      </c>
      <c r="I48" s="1"/>
      <c r="J48" s="1"/>
      <c r="K48" s="1"/>
      <c r="L48" s="1"/>
    </row>
    <row r="49" spans="1:12" ht="12.75">
      <c r="A49" t="s">
        <v>28</v>
      </c>
      <c r="B49" s="5">
        <v>9238083</v>
      </c>
      <c r="C49" s="1">
        <f t="shared" si="1"/>
        <v>0.18697649564073612</v>
      </c>
      <c r="D49" s="1">
        <f t="shared" si="2"/>
        <v>0.19051979617806272</v>
      </c>
      <c r="E49" s="1">
        <f t="shared" si="3"/>
        <v>0.19778606624807385</v>
      </c>
      <c r="F49" s="1">
        <f t="shared" si="4"/>
        <v>0.21420153872358333</v>
      </c>
      <c r="G49" s="1">
        <f t="shared" si="5"/>
        <v>0.21182962147148957</v>
      </c>
      <c r="H49" s="1">
        <f t="shared" si="6"/>
        <v>0.21252390894395315</v>
      </c>
      <c r="I49" s="1"/>
      <c r="J49" s="1"/>
      <c r="K49" s="1"/>
      <c r="L49" s="1"/>
    </row>
    <row r="50" spans="1:12" ht="12.75">
      <c r="A50" t="s">
        <v>54</v>
      </c>
      <c r="B50" s="5">
        <v>2574417</v>
      </c>
      <c r="C50" s="1">
        <f t="shared" si="1"/>
        <v>0.021521219113681943</v>
      </c>
      <c r="D50" s="1">
        <f t="shared" si="2"/>
        <v>0.021068736182745688</v>
      </c>
      <c r="E50" s="1">
        <f t="shared" si="3"/>
        <v>0.021084264386233544</v>
      </c>
      <c r="F50" s="1">
        <f t="shared" si="4"/>
        <v>0.02034631513271537</v>
      </c>
      <c r="G50" s="1">
        <f t="shared" si="5"/>
        <v>0.01963419410307033</v>
      </c>
      <c r="H50" s="1">
        <f t="shared" si="6"/>
        <v>0.01894699730946287</v>
      </c>
      <c r="I50" s="1"/>
      <c r="J50" s="1"/>
      <c r="K50" s="1"/>
      <c r="L50" s="1"/>
    </row>
    <row r="51" spans="1:12" ht="12.75">
      <c r="A51" t="s">
        <v>55</v>
      </c>
      <c r="B51" s="5">
        <v>7116500</v>
      </c>
      <c r="C51" s="1">
        <f t="shared" si="1"/>
        <v>0.13824209475478322</v>
      </c>
      <c r="D51" s="1">
        <f t="shared" si="2"/>
        <v>0.13599224353585226</v>
      </c>
      <c r="E51" s="1">
        <f t="shared" si="3"/>
        <v>0.13670006355010952</v>
      </c>
      <c r="F51" s="1">
        <f t="shared" si="4"/>
        <v>0.13514205990804895</v>
      </c>
      <c r="G51" s="1">
        <f t="shared" si="5"/>
        <v>0.13482767002936227</v>
      </c>
      <c r="H51" s="1">
        <f t="shared" si="6"/>
        <v>0.1339601555847183</v>
      </c>
      <c r="I51" s="1"/>
      <c r="J51" s="1"/>
      <c r="K51" s="1"/>
      <c r="L51" s="1"/>
    </row>
    <row r="52" spans="1:12" ht="12.75">
      <c r="A52" t="s">
        <v>26</v>
      </c>
      <c r="B52" s="5">
        <v>1680898</v>
      </c>
      <c r="C52" s="1">
        <f t="shared" si="1"/>
        <v>0.028064879489428957</v>
      </c>
      <c r="D52" s="1">
        <f t="shared" si="2"/>
        <v>0.027082608707298946</v>
      </c>
      <c r="E52" s="1">
        <f t="shared" si="3"/>
        <v>0.026134717402543483</v>
      </c>
      <c r="F52" s="1">
        <f t="shared" si="4"/>
        <v>0.032463473862961355</v>
      </c>
      <c r="G52" s="1">
        <f t="shared" si="5"/>
        <v>0.03281994831344892</v>
      </c>
      <c r="H52" s="1">
        <f t="shared" si="6"/>
        <v>0.0383739024207972</v>
      </c>
      <c r="I52" s="1"/>
      <c r="J52" s="1"/>
      <c r="K52" s="1"/>
      <c r="L52" s="1"/>
    </row>
    <row r="53" spans="1:12" ht="12.75">
      <c r="A53" t="s">
        <v>24</v>
      </c>
      <c r="B53" s="5">
        <v>553279</v>
      </c>
      <c r="C53" s="1">
        <f t="shared" si="1"/>
        <v>0.018189984369178923</v>
      </c>
      <c r="D53" s="1">
        <f t="shared" si="2"/>
        <v>0.01755333491625766</v>
      </c>
      <c r="E53" s="1">
        <f t="shared" si="3"/>
        <v>0.017005002267894337</v>
      </c>
      <c r="F53" s="1">
        <f t="shared" si="4"/>
        <v>0.016409827188518033</v>
      </c>
      <c r="G53" s="1">
        <f t="shared" si="5"/>
        <v>0.01697132432196043</v>
      </c>
      <c r="H53" s="1">
        <f t="shared" si="6"/>
        <v>0.016377327970691816</v>
      </c>
      <c r="I53" s="1"/>
      <c r="J53" s="1"/>
      <c r="K53" s="1"/>
      <c r="L53" s="1"/>
    </row>
    <row r="54" spans="1:12" ht="12.75">
      <c r="A54" t="s">
        <v>56</v>
      </c>
      <c r="B54" s="5">
        <v>7727545</v>
      </c>
      <c r="C54" s="1">
        <f t="shared" si="1"/>
        <v>0.17208824859211605</v>
      </c>
      <c r="D54" s="1">
        <f t="shared" si="2"/>
        <v>0.16733995978143168</v>
      </c>
      <c r="E54" s="1">
        <f t="shared" si="3"/>
        <v>0.19379619973817752</v>
      </c>
      <c r="F54" s="1">
        <f t="shared" si="4"/>
        <v>0.19016067332199194</v>
      </c>
      <c r="G54" s="1">
        <f t="shared" si="5"/>
        <v>0.18947514131245963</v>
      </c>
      <c r="H54" s="1">
        <f t="shared" si="6"/>
        <v>0.22970476494744319</v>
      </c>
      <c r="I54" s="1"/>
      <c r="J54" s="1"/>
      <c r="K54" s="1"/>
      <c r="L54" s="1"/>
    </row>
    <row r="55" spans="1:12" ht="12.75">
      <c r="A55" t="s">
        <v>20</v>
      </c>
      <c r="B55" s="5">
        <v>700616</v>
      </c>
      <c r="C55" s="1">
        <f t="shared" si="1"/>
        <v>0.028248107921606733</v>
      </c>
      <c r="D55" s="1">
        <f t="shared" si="2"/>
        <v>0.0272594241443505</v>
      </c>
      <c r="E55" s="1">
        <f t="shared" si="3"/>
        <v>0.026384780197461356</v>
      </c>
      <c r="F55" s="1">
        <f t="shared" si="4"/>
        <v>0.025625477244897304</v>
      </c>
      <c r="G55" s="1">
        <f t="shared" si="5"/>
        <v>0.024728585541325898</v>
      </c>
      <c r="H55" s="1">
        <f t="shared" si="6"/>
        <v>0.043247047645297486</v>
      </c>
      <c r="I55" s="1"/>
      <c r="J55" s="1"/>
      <c r="K55" s="1"/>
      <c r="L55" s="1"/>
    </row>
    <row r="56" spans="1:12" ht="12.75">
      <c r="A56" t="s">
        <v>25</v>
      </c>
      <c r="B56" s="5">
        <v>343000</v>
      </c>
      <c r="C56" s="1">
        <f t="shared" si="1"/>
        <v>0.007536159317775688</v>
      </c>
      <c r="D56" s="1">
        <f t="shared" si="2"/>
        <v>0.008593088859171117</v>
      </c>
      <c r="E56" s="1">
        <f t="shared" si="3"/>
        <v>0.008292330749100128</v>
      </c>
      <c r="F56" s="1">
        <f t="shared" si="4"/>
        <v>0.008002099172881624</v>
      </c>
      <c r="G56" s="1">
        <f t="shared" si="5"/>
        <v>0.0077220257018307675</v>
      </c>
      <c r="H56" s="1">
        <f t="shared" si="6"/>
        <v>0.00745175480226669</v>
      </c>
      <c r="I56" s="1"/>
      <c r="J56" s="1"/>
      <c r="K56" s="1"/>
      <c r="L56" s="1"/>
    </row>
    <row r="57" spans="1:12" ht="12.75">
      <c r="A57" t="s">
        <v>57</v>
      </c>
      <c r="B57" s="5">
        <v>255700</v>
      </c>
      <c r="C57" s="1">
        <f t="shared" si="1"/>
        <v>0.007386170725426604</v>
      </c>
      <c r="D57" s="1">
        <f t="shared" si="2"/>
        <v>0.007127654750036673</v>
      </c>
      <c r="E57" s="1">
        <f t="shared" si="3"/>
        <v>0.0068781868337853885</v>
      </c>
      <c r="F57" s="1">
        <f t="shared" si="4"/>
        <v>0.0066374502946029</v>
      </c>
      <c r="G57" s="1">
        <f t="shared" si="5"/>
        <v>0.006405139534291799</v>
      </c>
      <c r="H57" s="1">
        <f t="shared" si="6"/>
        <v>0.0061809596505915864</v>
      </c>
      <c r="I57" s="1"/>
      <c r="J57" s="1"/>
      <c r="K57" s="1"/>
      <c r="L57" s="1"/>
    </row>
    <row r="58" spans="1:12" ht="12.75">
      <c r="A58" t="s">
        <v>58</v>
      </c>
      <c r="B58" s="5">
        <v>1028167</v>
      </c>
      <c r="C58" s="1">
        <f t="shared" si="1"/>
        <v>0.014902913505787171</v>
      </c>
      <c r="D58" s="1">
        <f t="shared" si="2"/>
        <v>0.016847243049274083</v>
      </c>
      <c r="E58" s="1">
        <f t="shared" si="3"/>
        <v>0.02333396823993674</v>
      </c>
      <c r="F58" s="1">
        <f t="shared" si="4"/>
        <v>0.024638107627513065</v>
      </c>
      <c r="G58" s="1">
        <f t="shared" si="5"/>
        <v>0.03516881401232857</v>
      </c>
      <c r="H58" s="1">
        <f t="shared" si="6"/>
        <v>0.03393790552189707</v>
      </c>
      <c r="I58" s="1"/>
      <c r="J58" s="1"/>
      <c r="K58" s="1"/>
      <c r="L58" s="1"/>
    </row>
    <row r="59" spans="1:12" ht="12.75">
      <c r="A59" t="s">
        <v>59</v>
      </c>
      <c r="B59" s="5">
        <v>3511000</v>
      </c>
      <c r="C59" s="1">
        <f t="shared" si="1"/>
        <v>0.14103646466852815</v>
      </c>
      <c r="D59" s="1">
        <f t="shared" si="2"/>
        <v>0.13776954311801504</v>
      </c>
      <c r="E59" s="1">
        <f t="shared" si="3"/>
        <v>0.13729430546689086</v>
      </c>
      <c r="F59" s="1">
        <f t="shared" si="4"/>
        <v>0.13313298407672697</v>
      </c>
      <c r="G59" s="1">
        <f t="shared" si="5"/>
        <v>0.13105971354509074</v>
      </c>
      <c r="H59" s="1">
        <f t="shared" si="6"/>
        <v>0.1412517821844253</v>
      </c>
      <c r="I59" s="1"/>
      <c r="J59" s="1"/>
      <c r="K59" s="1"/>
      <c r="L59" s="1"/>
    </row>
    <row r="60" spans="2:12" ht="12.75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t="s">
        <v>69</v>
      </c>
      <c r="B61" s="5">
        <f>SUM(B37:B59)</f>
        <v>87204632</v>
      </c>
      <c r="C61" s="24">
        <f aca="true" t="shared" si="7" ref="C61:H61">SUM(C37:C59)</f>
        <v>1.7041726330087603</v>
      </c>
      <c r="D61" s="24">
        <f t="shared" si="7"/>
        <v>1.7322976989815286</v>
      </c>
      <c r="E61" s="24">
        <f t="shared" si="7"/>
        <v>1.803864655922917</v>
      </c>
      <c r="F61" s="24">
        <f t="shared" si="7"/>
        <v>1.8588525132398885</v>
      </c>
      <c r="G61" s="24">
        <f t="shared" si="7"/>
        <v>1.864539552670435</v>
      </c>
      <c r="H61" s="24">
        <f t="shared" si="7"/>
        <v>1.925655557618044</v>
      </c>
      <c r="I61" s="1"/>
      <c r="J61" s="1"/>
      <c r="K61" s="1"/>
      <c r="L61" s="1"/>
    </row>
    <row r="62" spans="1:12" ht="12.75">
      <c r="A62" t="s">
        <v>70</v>
      </c>
      <c r="C62" s="24"/>
      <c r="D62" s="26">
        <f>(D61-C61)/C61</f>
        <v>0.016503648414487676</v>
      </c>
      <c r="E62" s="26">
        <f>(E61-D61)/D61</f>
        <v>0.041313312938916213</v>
      </c>
      <c r="F62" s="26">
        <f>(F61-E61)/E61</f>
        <v>0.030483360897626724</v>
      </c>
      <c r="G62" s="26">
        <f>(G61-F61)/F61</f>
        <v>0.003059435533502414</v>
      </c>
      <c r="H62" s="26">
        <f>(H61-G61)/G61</f>
        <v>0.0327780683762259</v>
      </c>
      <c r="I62" s="1"/>
      <c r="J62" s="1"/>
      <c r="K62" s="1"/>
      <c r="L62" s="1"/>
    </row>
    <row r="63" spans="3:12" ht="12.75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ht="12.75">
      <c r="B64" s="21" t="s">
        <v>90</v>
      </c>
    </row>
    <row r="66" spans="3:8" ht="12.75">
      <c r="C66" s="20">
        <v>2006</v>
      </c>
      <c r="D66" s="20">
        <v>2007</v>
      </c>
      <c r="E66" s="20">
        <v>2008</v>
      </c>
      <c r="F66" s="20">
        <v>2009</v>
      </c>
      <c r="G66" s="20">
        <v>2010</v>
      </c>
      <c r="H66" s="20">
        <v>2011</v>
      </c>
    </row>
    <row r="67" spans="1:8" ht="12.75">
      <c r="A67" t="s">
        <v>42</v>
      </c>
      <c r="B67" s="1"/>
      <c r="C67" s="1">
        <f>ALTW!D3</f>
        <v>2.302</v>
      </c>
      <c r="D67" s="1">
        <f>ALTW!E13</f>
        <v>2.432674200966046</v>
      </c>
      <c r="E67" s="1">
        <f>ALTW!F13</f>
        <v>2.689354843691688</v>
      </c>
      <c r="F67" s="1">
        <f>ALTW!G13</f>
        <v>3.240636253780944</v>
      </c>
      <c r="G67" s="1">
        <f>ALTW!H13</f>
        <v>3.245436702929652</v>
      </c>
      <c r="H67" s="1">
        <f>ALTW!I13</f>
        <v>3.2027199185752777</v>
      </c>
    </row>
    <row r="68" spans="1:8" ht="12.75">
      <c r="A68" t="s">
        <v>48</v>
      </c>
      <c r="B68" s="1"/>
      <c r="C68" s="1">
        <f>ATCLLC!B3</f>
        <v>2.628</v>
      </c>
      <c r="D68" s="1">
        <f>ATCLLC!C15</f>
        <v>3.24258035405002</v>
      </c>
      <c r="E68" s="1">
        <f>ATCLLC!D15</f>
        <v>3.4579557829683796</v>
      </c>
      <c r="F68" s="1">
        <f>ATCLLC!E15</f>
        <v>4.659831219093059</v>
      </c>
      <c r="G68" s="1">
        <f>ATCLLC!F15</f>
        <v>5.149202776670391</v>
      </c>
      <c r="H68" s="1">
        <f>ATCLLC!G15</f>
        <v>5.40083091995377</v>
      </c>
    </row>
    <row r="69" spans="1:8" ht="12.75">
      <c r="A69" t="s">
        <v>15</v>
      </c>
      <c r="B69" s="1"/>
      <c r="C69" s="1">
        <f>CILCO!B3</f>
        <v>0.847</v>
      </c>
      <c r="D69" s="1">
        <f>CILCO!C15</f>
        <v>0.9936881920237784</v>
      </c>
      <c r="E69" s="1">
        <f>CILCO!D15</f>
        <v>1.3427049481961655</v>
      </c>
      <c r="F69" s="1">
        <f>CILCO!E15</f>
        <v>1.9622816623515367</v>
      </c>
      <c r="G69" s="1">
        <f>CILCO!F15</f>
        <v>2.031812588450551</v>
      </c>
      <c r="H69" s="1">
        <f>CILCO!G15</f>
        <v>2.0557733291003393</v>
      </c>
    </row>
    <row r="70" spans="1:8" ht="12.75">
      <c r="A70" t="s">
        <v>60</v>
      </c>
      <c r="B70" s="1"/>
      <c r="C70" s="1">
        <f>Duke!B3</f>
        <v>1.358</v>
      </c>
      <c r="D70" s="1">
        <f>Duke!C15</f>
        <v>1.492529066904273</v>
      </c>
      <c r="E70" s="1">
        <f>Duke!D15</f>
        <v>1.8587143520341582</v>
      </c>
      <c r="F70" s="1">
        <f>Duke!E15</f>
        <v>2.4917128564308997</v>
      </c>
      <c r="G70" s="1">
        <f>Duke!F15</f>
        <v>2.5850164229942436</v>
      </c>
      <c r="H70" s="1">
        <f>Duke!G15</f>
        <v>2.578778580049777</v>
      </c>
    </row>
    <row r="71" spans="1:8" ht="12.75">
      <c r="A71" t="s">
        <v>49</v>
      </c>
      <c r="B71" s="1"/>
      <c r="C71" s="1">
        <f>ColumbiaMO!B3</f>
        <v>0.357</v>
      </c>
      <c r="D71" s="1">
        <f>ColumbiaMO!C15</f>
        <v>0.5286781920237783</v>
      </c>
      <c r="E71" s="1">
        <f>ColumbiaMO!D15</f>
        <v>0.8824626312054761</v>
      </c>
      <c r="F71" s="1">
        <f>ColumbiaMO!E15</f>
        <v>1.5258955441315292</v>
      </c>
      <c r="G71" s="1">
        <f>ColumbiaMO!F15</f>
        <v>1.6158735475215953</v>
      </c>
      <c r="H71" s="1">
        <f>ColumbiaMO!G15</f>
        <v>1.6562644840930316</v>
      </c>
    </row>
    <row r="72" spans="1:8" ht="12.75">
      <c r="A72" t="s">
        <v>29</v>
      </c>
      <c r="B72" s="1"/>
      <c r="C72" s="1">
        <f>CWLP!B3</f>
        <v>1.903</v>
      </c>
      <c r="D72" s="1">
        <f>CWLP!C15</f>
        <v>1.9958321920237785</v>
      </c>
      <c r="E72" s="1">
        <f>CWLP!D15</f>
        <v>2.2747917772054764</v>
      </c>
      <c r="F72" s="1">
        <f>CWLP!E15</f>
        <v>2.8472159036855293</v>
      </c>
      <c r="G72" s="1">
        <f>CWLP!F15</f>
        <v>2.8698065687383414</v>
      </c>
      <c r="H72" s="1">
        <f>CWLP!G15</f>
        <v>2.846246921227724</v>
      </c>
    </row>
    <row r="73" spans="1:8" ht="12.75">
      <c r="A73" t="s">
        <v>18</v>
      </c>
      <c r="B73" s="1"/>
      <c r="C73" s="1">
        <f>GRE!B3</f>
        <v>2.48</v>
      </c>
      <c r="D73" s="1">
        <f>GRE!C18</f>
        <v>2.8651542131530388</v>
      </c>
      <c r="E73" s="1">
        <f>GRE!D18</f>
        <v>3.228740233888465</v>
      </c>
      <c r="F73" s="1">
        <f>GRE!E18</f>
        <v>3.849919270970737</v>
      </c>
      <c r="G73" s="1">
        <f>GRE!F18</f>
        <v>3.8783903756440337</v>
      </c>
      <c r="H73" s="1">
        <f>GRE!G18</f>
        <v>3.8033929539812257</v>
      </c>
    </row>
    <row r="74" spans="1:8" ht="12.75">
      <c r="A74" t="s">
        <v>50</v>
      </c>
      <c r="B74" s="1"/>
      <c r="C74" s="1">
        <f>Ameren!B3</f>
        <v>0.852</v>
      </c>
      <c r="D74" s="1">
        <f>Ameren!C15</f>
        <v>0.9991434358803108</v>
      </c>
      <c r="E74" s="1">
        <f>Ameren!D15</f>
        <v>1.3844934789808248</v>
      </c>
      <c r="F74" s="1">
        <f>Ameren!E15</f>
        <v>2.035478113208124</v>
      </c>
      <c r="G74" s="1">
        <f>Ameren!F15</f>
        <v>2.140238384176869</v>
      </c>
      <c r="H74" s="1">
        <f>Ameren!G15</f>
        <v>2.2066316415874603</v>
      </c>
    </row>
    <row r="75" spans="1:8" ht="12.75">
      <c r="A75" t="s">
        <v>51</v>
      </c>
      <c r="B75" s="1"/>
      <c r="C75" s="1">
        <f>ATSI!B3</f>
        <v>1.18</v>
      </c>
      <c r="D75" s="1">
        <f>ATSI!C15</f>
        <v>1.3285851920237781</v>
      </c>
      <c r="E75" s="1">
        <f>ATSI!D15</f>
        <v>1.6636315279879192</v>
      </c>
      <c r="F75" s="1">
        <f>ATSI!E15</f>
        <v>2.2875008177849443</v>
      </c>
      <c r="G75" s="1">
        <f>ATSI!F15</f>
        <v>2.3671785171276745</v>
      </c>
      <c r="H75" s="1">
        <f>ATSI!G15</f>
        <v>2.385906681067678</v>
      </c>
    </row>
    <row r="76" spans="1:8" ht="12.75">
      <c r="A76" t="s">
        <v>17</v>
      </c>
      <c r="B76" s="1"/>
      <c r="C76" s="1">
        <f>NIPSCO!B3</f>
        <v>1.942</v>
      </c>
      <c r="D76" s="1">
        <f>NIPSCO!C15</f>
        <v>2.075715024938035</v>
      </c>
      <c r="E76" s="1">
        <f>NIPSCO!D15</f>
        <v>2.3807738629677337</v>
      </c>
      <c r="F76" s="1">
        <f>NIPSCO!E15</f>
        <v>2.9900075802186903</v>
      </c>
      <c r="G76" s="1">
        <f>NIPSCO!F15</f>
        <v>3.040180007871986</v>
      </c>
      <c r="H76" s="1">
        <f>NIPSCO!G15</f>
        <v>3.0353531196359387</v>
      </c>
    </row>
    <row r="77" spans="1:8" ht="12.75">
      <c r="A77" t="s">
        <v>52</v>
      </c>
      <c r="B77" s="1"/>
      <c r="C77" s="1">
        <f>Hoosier!B3</f>
        <v>3.17</v>
      </c>
      <c r="D77" s="1">
        <f>Hoosier!C15</f>
        <v>3.2489351920237786</v>
      </c>
      <c r="E77" s="1">
        <f>Hoosier!D15</f>
        <v>3.5129313242054763</v>
      </c>
      <c r="F77" s="1">
        <f>Hoosier!E15</f>
        <v>4.069442065788529</v>
      </c>
      <c r="G77" s="1">
        <f>Hoosier!F15</f>
        <v>4.124129651138173</v>
      </c>
      <c r="H77" s="1">
        <f>Hoosier!G15</f>
        <v>4.081364525387809</v>
      </c>
    </row>
    <row r="78" spans="1:8" ht="12.75">
      <c r="A78" t="s">
        <v>53</v>
      </c>
      <c r="B78" s="1"/>
      <c r="C78" s="1">
        <f>'IP'!B3</f>
        <v>0.935</v>
      </c>
      <c r="D78" s="1">
        <f>'IP'!C15</f>
        <v>1.1034496701878374</v>
      </c>
      <c r="E78" s="1">
        <f>'IP'!D15</f>
        <v>1.4761424886159733</v>
      </c>
      <c r="F78" s="1">
        <f>'IP'!E15</f>
        <v>2.2852870892076926</v>
      </c>
      <c r="G78" s="1">
        <f>'IP'!F15</f>
        <v>2.645966272726146</v>
      </c>
      <c r="H78" s="1">
        <f>'IP'!G15</f>
        <v>2.736245747082875</v>
      </c>
    </row>
    <row r="79" spans="1:8" ht="12.75">
      <c r="A79" t="s">
        <v>28</v>
      </c>
      <c r="B79" s="1"/>
      <c r="C79" s="1">
        <f>ITC!B3</f>
        <v>1.765</v>
      </c>
      <c r="D79" s="1">
        <f>ITC!C15</f>
        <v>1.9573370812315645</v>
      </c>
      <c r="E79" s="1">
        <f>ITC!D15</f>
        <v>2.399593271252683</v>
      </c>
      <c r="F79" s="1">
        <f>ITC!E15</f>
        <v>3.0834312100005388</v>
      </c>
      <c r="G79" s="1">
        <f>ITC!F15</f>
        <v>3.2822341713479153</v>
      </c>
      <c r="H79" s="1">
        <f>ITC!G15</f>
        <v>3.350321886596718</v>
      </c>
    </row>
    <row r="80" spans="1:8" ht="12.75">
      <c r="A80" t="s">
        <v>54</v>
      </c>
      <c r="B80" s="1"/>
      <c r="C80" s="1">
        <f>IPL!B3</f>
        <v>0.729</v>
      </c>
      <c r="D80" s="1">
        <f>IPL!C15</f>
        <v>0.9035579907667258</v>
      </c>
      <c r="E80" s="1">
        <f>IPL!D15</f>
        <v>1.2751468682595093</v>
      </c>
      <c r="F80" s="1">
        <f>IPL!E15</f>
        <v>1.9099800658006711</v>
      </c>
      <c r="G80" s="1">
        <f>IPL!F15</f>
        <v>1.9913969879658053</v>
      </c>
      <c r="H80" s="1">
        <f>IPL!G15</f>
        <v>2.0232775054264747</v>
      </c>
    </row>
    <row r="81" spans="1:8" ht="12.75">
      <c r="A81" t="s">
        <v>55</v>
      </c>
      <c r="B81" s="1"/>
      <c r="C81" s="1">
        <f>METC!B3</f>
        <v>1.694</v>
      </c>
      <c r="D81" s="1">
        <f>METC!C15</f>
        <v>1.8364992807126663</v>
      </c>
      <c r="E81" s="1">
        <f>METC!D15</f>
        <v>2.18691338399297</v>
      </c>
      <c r="F81" s="1">
        <f>METC!E15</f>
        <v>2.8557609219121387</v>
      </c>
      <c r="G81" s="1">
        <f>METC!F15</f>
        <v>2.957807578084454</v>
      </c>
      <c r="H81" s="1">
        <f>METC!G15</f>
        <v>3.0023055714721165</v>
      </c>
    </row>
    <row r="82" spans="1:8" ht="12.75">
      <c r="A82" t="s">
        <v>26</v>
      </c>
      <c r="B82" s="1"/>
      <c r="C82" s="1">
        <f>MP!B3</f>
        <v>1.456</v>
      </c>
      <c r="D82" s="1">
        <f>MP!C18</f>
        <v>1.5949251920237784</v>
      </c>
      <c r="E82" s="1">
        <f>MP!D18</f>
        <v>1.9168116742054764</v>
      </c>
      <c r="F82" s="1">
        <f>MP!E18</f>
        <v>3.192010278771299</v>
      </c>
      <c r="G82" s="1">
        <f>MP!F18</f>
        <v>3.106449932778763</v>
      </c>
      <c r="H82" s="1">
        <f>MP!G18</f>
        <v>3.7200376310113556</v>
      </c>
    </row>
    <row r="83" spans="1:8" ht="12.75">
      <c r="A83" t="s">
        <v>24</v>
      </c>
      <c r="B83" s="1"/>
      <c r="C83" s="1">
        <f>MDU!B3</f>
        <v>2.867</v>
      </c>
      <c r="D83" s="1">
        <f>MDU!C15</f>
        <v>2.9565401920237786</v>
      </c>
      <c r="E83" s="1">
        <f>MDU!D15</f>
        <v>3.2411780575066516</v>
      </c>
      <c r="F83" s="1">
        <f>MDU!E15</f>
        <v>3.8072001634241635</v>
      </c>
      <c r="G83" s="1">
        <f>MDU!F15</f>
        <v>4.001239076461324</v>
      </c>
      <c r="H83" s="1">
        <f>MDU!G15</f>
        <v>3.96277512082465</v>
      </c>
    </row>
    <row r="84" spans="1:8" ht="12.75">
      <c r="A84" t="s">
        <v>56</v>
      </c>
      <c r="B84" s="1"/>
      <c r="C84" s="1">
        <f>NSP!B3</f>
        <v>1.942</v>
      </c>
      <c r="D84" s="1">
        <f>NSP!C17</f>
        <v>1.888415999083092</v>
      </c>
      <c r="E84" s="1">
        <f>NSP!D17</f>
        <v>2.5307709176913105</v>
      </c>
      <c r="F84" s="1">
        <f>NSP!E17</f>
        <v>3.366723874360594</v>
      </c>
      <c r="G84" s="1">
        <f>NSP!F17</f>
        <v>3.464526695348376</v>
      </c>
      <c r="H84" s="1">
        <f>NSP!G17</f>
        <v>3.9736725939773896</v>
      </c>
    </row>
    <row r="85" spans="1:8" ht="12.75">
      <c r="A85" t="s">
        <v>20</v>
      </c>
      <c r="B85" s="1"/>
      <c r="C85" s="1">
        <f>OTP!B3</f>
        <v>3.516</v>
      </c>
      <c r="D85" s="1">
        <f>OTP!C15</f>
        <v>3.582825192023779</v>
      </c>
      <c r="E85" s="1">
        <f>OTP!D15</f>
        <v>3.8450224423622195</v>
      </c>
      <c r="F85" s="1">
        <f>OTP!E15</f>
        <v>4.41034328795233</v>
      </c>
      <c r="G85" s="1">
        <f>OTP!F15</f>
        <v>4.404247497342156</v>
      </c>
      <c r="H85" s="1">
        <f>OTP!G15</f>
        <v>6.764371255774341</v>
      </c>
    </row>
    <row r="86" spans="1:8" ht="12.75">
      <c r="A86" t="s">
        <v>25</v>
      </c>
      <c r="B86" s="1"/>
      <c r="C86" s="1">
        <f>SIPC!B3</f>
        <v>1.916</v>
      </c>
      <c r="D86" s="1">
        <f>SIPC!C15</f>
        <v>2.3745999200334493</v>
      </c>
      <c r="E86" s="1">
        <f>SIPC!D15</f>
        <v>2.6691977867348085</v>
      </c>
      <c r="F86" s="1">
        <f>SIPC!E15</f>
        <v>3.255239202129335</v>
      </c>
      <c r="G86" s="1">
        <f>SIPC!F15</f>
        <v>3.289572054522966</v>
      </c>
      <c r="H86" s="1">
        <f>SIPC!G15</f>
        <v>3.276016444654134</v>
      </c>
    </row>
    <row r="87" spans="1:8" ht="12.75">
      <c r="A87" t="s">
        <v>57</v>
      </c>
      <c r="B87" s="1"/>
      <c r="C87" s="1">
        <f>SMMPA!B3</f>
        <v>2.519</v>
      </c>
      <c r="D87" s="1">
        <f>SMMPA!C15</f>
        <v>2.6207201920237786</v>
      </c>
      <c r="E87" s="1">
        <f>SMMPA!D15</f>
        <v>2.906703849205476</v>
      </c>
      <c r="F87" s="1">
        <f>SMMPA!E15</f>
        <v>3.484432552413529</v>
      </c>
      <c r="G87" s="1">
        <f>SMMPA!F15</f>
        <v>3.5107436375472134</v>
      </c>
      <c r="H87" s="1">
        <f>SMMPA!G15</f>
        <v>3.4894470222725333</v>
      </c>
    </row>
    <row r="88" spans="1:8" ht="12.75">
      <c r="A88" t="s">
        <v>58</v>
      </c>
      <c r="B88" s="1"/>
      <c r="C88" s="1">
        <f>Vectren!B3</f>
        <v>1.264</v>
      </c>
      <c r="D88" s="1">
        <f>Vectren!C15</f>
        <v>1.4096451920237782</v>
      </c>
      <c r="E88" s="1">
        <f>Vectren!D15</f>
        <v>2.540033294275145</v>
      </c>
      <c r="F88" s="1">
        <f>Vectren!E15</f>
        <v>3.3104748535632935</v>
      </c>
      <c r="G88" s="1">
        <f>Vectren!F15</f>
        <v>3.552106548076378</v>
      </c>
      <c r="H88" s="1">
        <f>Vectren!G15</f>
        <v>4.259940368117733</v>
      </c>
    </row>
    <row r="89" spans="1:8" ht="12.75">
      <c r="A89" t="s">
        <v>59</v>
      </c>
      <c r="B89" s="1"/>
      <c r="C89" s="1">
        <f>MH!B3</f>
        <v>3.503</v>
      </c>
      <c r="D89" s="1">
        <f>MH!C15</f>
        <v>3.611742870296246</v>
      </c>
      <c r="E89" s="1">
        <f>MH!D15</f>
        <v>3.9710020143751734</v>
      </c>
      <c r="F89" s="1">
        <f>MH!E15</f>
        <v>4.527475148784566</v>
      </c>
      <c r="G89" s="1">
        <f>MH!F15</f>
        <v>4.581519178298402</v>
      </c>
      <c r="H89" s="1">
        <f>MH!G15</f>
        <v>4.889823484649207</v>
      </c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24" t="s">
        <v>91</v>
      </c>
      <c r="C91" s="1"/>
      <c r="D91" s="1"/>
      <c r="E91" s="1"/>
      <c r="F91" s="1"/>
      <c r="G91" s="1"/>
      <c r="H91" s="1"/>
    </row>
    <row r="92" spans="3:8" ht="12.75">
      <c r="C92" s="20">
        <v>2006</v>
      </c>
      <c r="D92" s="20">
        <v>2007</v>
      </c>
      <c r="E92" s="20">
        <v>2008</v>
      </c>
      <c r="F92" s="20">
        <v>2009</v>
      </c>
      <c r="G92" s="20">
        <v>2010</v>
      </c>
      <c r="H92" s="20">
        <v>2011</v>
      </c>
    </row>
    <row r="93" spans="1:8" ht="12.75">
      <c r="A93" t="s">
        <v>42</v>
      </c>
      <c r="D93" s="16">
        <f>((D67-C67)/C67)*0.07</f>
        <v>0.003973585607134326</v>
      </c>
      <c r="E93" s="16">
        <f>((E67-D67)/D67)*0.07</f>
        <v>0.007385964377662964</v>
      </c>
      <c r="F93" s="16">
        <f>((F67-E67)/E67)*0.07</f>
        <v>0.014349054308235394</v>
      </c>
      <c r="G93" s="16">
        <f>((G67-F67)/F67)*0.07</f>
        <v>0.00010369304485114512</v>
      </c>
      <c r="H93" s="16">
        <f>((H67-G67)/G67)*0.07</f>
        <v>-0.0009213474729323714</v>
      </c>
    </row>
    <row r="94" spans="1:8" ht="12.75">
      <c r="A94" t="s">
        <v>48</v>
      </c>
      <c r="D94" s="16">
        <f aca="true" t="shared" si="8" ref="D94:H115">((D68-C68)/C68)*0.07</f>
        <v>0.016370100754757005</v>
      </c>
      <c r="E94" s="16">
        <f t="shared" si="8"/>
        <v>0.004649469983204799</v>
      </c>
      <c r="F94" s="16">
        <f t="shared" si="8"/>
        <v>0.024329773371626964</v>
      </c>
      <c r="G94" s="16">
        <f t="shared" si="8"/>
        <v>0.007351341158034578</v>
      </c>
      <c r="H94" s="16">
        <f t="shared" si="8"/>
        <v>0.003420717884648193</v>
      </c>
    </row>
    <row r="95" spans="1:8" ht="12.75">
      <c r="A95" t="s">
        <v>15</v>
      </c>
      <c r="D95" s="16">
        <f t="shared" si="8"/>
        <v>0.012122991076345329</v>
      </c>
      <c r="E95" s="16">
        <f t="shared" si="8"/>
        <v>0.024586357298167903</v>
      </c>
      <c r="F95" s="16">
        <f t="shared" si="8"/>
        <v>0.03230074488750577</v>
      </c>
      <c r="G95" s="16">
        <f t="shared" si="8"/>
        <v>0.0024803599403249474</v>
      </c>
      <c r="H95" s="16">
        <f t="shared" si="8"/>
        <v>0.0008254953508109964</v>
      </c>
    </row>
    <row r="96" spans="1:8" ht="12.75">
      <c r="A96" t="s">
        <v>60</v>
      </c>
      <c r="D96" s="16">
        <f t="shared" si="8"/>
        <v>0.006934487984756336</v>
      </c>
      <c r="E96" s="16">
        <f t="shared" si="8"/>
        <v>0.0171741847629531</v>
      </c>
      <c r="F96" s="16">
        <f t="shared" si="8"/>
        <v>0.023839002081885042</v>
      </c>
      <c r="G96" s="16">
        <f t="shared" si="8"/>
        <v>0.0026211887307068605</v>
      </c>
      <c r="H96" s="16">
        <f t="shared" si="8"/>
        <v>-0.00016891537021915577</v>
      </c>
    </row>
    <row r="97" spans="1:8" ht="12.75">
      <c r="A97" t="s">
        <v>49</v>
      </c>
      <c r="D97" s="16">
        <f t="shared" si="8"/>
        <v>0.03366239059289772</v>
      </c>
      <c r="E97" s="16">
        <f t="shared" si="8"/>
        <v>0.04684307224385188</v>
      </c>
      <c r="F97" s="16">
        <f t="shared" si="8"/>
        <v>0.05103933278545407</v>
      </c>
      <c r="G97" s="16">
        <f t="shared" si="8"/>
        <v>0.004127713893344796</v>
      </c>
      <c r="H97" s="16">
        <f t="shared" si="8"/>
        <v>0.001749744319001396</v>
      </c>
    </row>
    <row r="98" spans="1:8" ht="12.75">
      <c r="A98" t="s">
        <v>29</v>
      </c>
      <c r="D98" s="16">
        <f t="shared" si="8"/>
        <v>0.003414741692939828</v>
      </c>
      <c r="E98" s="16">
        <f t="shared" si="8"/>
        <v>0.009783974344515538</v>
      </c>
      <c r="F98" s="16">
        <f t="shared" si="8"/>
        <v>0.01761466225397926</v>
      </c>
      <c r="G98" s="16">
        <f t="shared" si="8"/>
        <v>0.0005554009977430572</v>
      </c>
      <c r="H98" s="16">
        <f t="shared" si="8"/>
        <v>-0.000574664280062693</v>
      </c>
    </row>
    <row r="99" spans="1:8" ht="12.75">
      <c r="A99" t="s">
        <v>18</v>
      </c>
      <c r="D99" s="16">
        <f t="shared" si="8"/>
        <v>0.010871288274480934</v>
      </c>
      <c r="E99" s="16">
        <f t="shared" si="8"/>
        <v>0.008882949941975922</v>
      </c>
      <c r="F99" s="16">
        <f t="shared" si="8"/>
        <v>0.013467336932024336</v>
      </c>
      <c r="G99" s="16">
        <f t="shared" si="8"/>
        <v>0.0005176673033531583</v>
      </c>
      <c r="H99" s="16">
        <f t="shared" si="8"/>
        <v>-0.001353607813531352</v>
      </c>
    </row>
    <row r="100" spans="1:8" ht="12.75">
      <c r="A100" t="s">
        <v>50</v>
      </c>
      <c r="D100" s="16">
        <f t="shared" si="8"/>
        <v>0.012089249426786105</v>
      </c>
      <c r="E100" s="16">
        <f t="shared" si="8"/>
        <v>0.026997628216683094</v>
      </c>
      <c r="F100" s="16">
        <f t="shared" si="8"/>
        <v>0.03291378766872624</v>
      </c>
      <c r="G100" s="16">
        <f t="shared" si="8"/>
        <v>0.0036027009675158018</v>
      </c>
      <c r="H100" s="16">
        <f t="shared" si="8"/>
        <v>0.002171500171710458</v>
      </c>
    </row>
    <row r="101" spans="1:8" ht="12.75">
      <c r="A101" t="s">
        <v>51</v>
      </c>
      <c r="D101" s="16">
        <f t="shared" si="8"/>
        <v>0.00881437579802074</v>
      </c>
      <c r="E101" s="16">
        <f t="shared" si="8"/>
        <v>0.01765279611596795</v>
      </c>
      <c r="F101" s="16">
        <f t="shared" si="8"/>
        <v>0.02625031417780926</v>
      </c>
      <c r="G101" s="16">
        <f t="shared" si="8"/>
        <v>0.002438223807671428</v>
      </c>
      <c r="H101" s="16">
        <f t="shared" si="8"/>
        <v>0.0005538118339258095</v>
      </c>
    </row>
    <row r="102" spans="1:8" ht="12.75">
      <c r="A102" t="s">
        <v>17</v>
      </c>
      <c r="D102" s="16">
        <f t="shared" si="8"/>
        <v>0.004819800075006411</v>
      </c>
      <c r="E102" s="16">
        <f t="shared" si="8"/>
        <v>0.010287596517598262</v>
      </c>
      <c r="F102" s="16">
        <f t="shared" si="8"/>
        <v>0.01791281434617503</v>
      </c>
      <c r="G102" s="16">
        <f t="shared" si="8"/>
        <v>0.0011746023518354528</v>
      </c>
      <c r="H102" s="16">
        <f t="shared" si="8"/>
        <v>-0.00011113887192483103</v>
      </c>
    </row>
    <row r="103" spans="1:8" ht="12.75">
      <c r="A103" t="s">
        <v>52</v>
      </c>
      <c r="D103" s="16">
        <f t="shared" si="8"/>
        <v>0.0017430484043105693</v>
      </c>
      <c r="E103" s="16">
        <f t="shared" si="8"/>
        <v>0.005687934095480594</v>
      </c>
      <c r="F103" s="16">
        <f t="shared" si="8"/>
        <v>0.011089243801150696</v>
      </c>
      <c r="G103" s="16">
        <f t="shared" si="8"/>
        <v>0.0009407016766887664</v>
      </c>
      <c r="H103" s="16">
        <f t="shared" si="8"/>
        <v>-0.0007258643776388858</v>
      </c>
    </row>
    <row r="104" spans="1:8" ht="12.75">
      <c r="A104" t="s">
        <v>53</v>
      </c>
      <c r="D104" s="16">
        <f t="shared" si="8"/>
        <v>0.012611205254704397</v>
      </c>
      <c r="E104" s="16">
        <f t="shared" si="8"/>
        <v>0.02364267079397336</v>
      </c>
      <c r="F104" s="16">
        <f t="shared" si="8"/>
        <v>0.038370362263961365</v>
      </c>
      <c r="G104" s="16">
        <f t="shared" si="8"/>
        <v>0.011047864824303127</v>
      </c>
      <c r="H104" s="16">
        <f t="shared" si="8"/>
        <v>0.0023883763259234417</v>
      </c>
    </row>
    <row r="105" spans="1:8" ht="12.75">
      <c r="A105" t="s">
        <v>28</v>
      </c>
      <c r="D105" s="16">
        <f t="shared" si="8"/>
        <v>0.007628099538928908</v>
      </c>
      <c r="E105" s="16">
        <f t="shared" si="8"/>
        <v>0.015816352532390297</v>
      </c>
      <c r="F105" s="16">
        <f t="shared" si="8"/>
        <v>0.019948653918070283</v>
      </c>
      <c r="G105" s="16">
        <f t="shared" si="8"/>
        <v>0.004513221261165715</v>
      </c>
      <c r="H105" s="16">
        <f t="shared" si="8"/>
        <v>0.001452102384717686</v>
      </c>
    </row>
    <row r="106" spans="1:8" ht="12.75">
      <c r="A106" t="s">
        <v>54</v>
      </c>
      <c r="D106" s="16">
        <f t="shared" si="8"/>
        <v>0.016761398290357766</v>
      </c>
      <c r="E106" s="16">
        <f t="shared" si="8"/>
        <v>0.028787550650094616</v>
      </c>
      <c r="F106" s="16">
        <f t="shared" si="8"/>
        <v>0.03484957296608248</v>
      </c>
      <c r="G106" s="16">
        <f t="shared" si="8"/>
        <v>0.0029838973995627927</v>
      </c>
      <c r="H106" s="16">
        <f t="shared" si="8"/>
        <v>0.001120638544565868</v>
      </c>
    </row>
    <row r="107" spans="1:8" ht="12.75">
      <c r="A107" t="s">
        <v>55</v>
      </c>
      <c r="D107" s="16">
        <f t="shared" si="8"/>
        <v>0.005888400029449024</v>
      </c>
      <c r="E107" s="16">
        <f t="shared" si="8"/>
        <v>0.013356382704436788</v>
      </c>
      <c r="F107" s="16">
        <f t="shared" si="8"/>
        <v>0.02140886237060604</v>
      </c>
      <c r="G107" s="16">
        <f t="shared" si="8"/>
        <v>0.002501352923927236</v>
      </c>
      <c r="H107" s="16">
        <f t="shared" si="8"/>
        <v>0.001053097422636816</v>
      </c>
    </row>
    <row r="108" spans="1:8" ht="12.75">
      <c r="A108" t="s">
        <v>26</v>
      </c>
      <c r="D108" s="16">
        <f t="shared" si="8"/>
        <v>0.006679095770373963</v>
      </c>
      <c r="E108" s="16">
        <f t="shared" si="8"/>
        <v>0.014127342063064572</v>
      </c>
      <c r="F108" s="16">
        <f t="shared" si="8"/>
        <v>0.04656894755015917</v>
      </c>
      <c r="G108" s="16">
        <f t="shared" si="8"/>
        <v>-0.001876317334975173</v>
      </c>
      <c r="H108" s="16">
        <f t="shared" si="8"/>
        <v>0.013826438476625014</v>
      </c>
    </row>
    <row r="109" spans="1:8" ht="12.75">
      <c r="A109" t="s">
        <v>24</v>
      </c>
      <c r="D109" s="16">
        <f t="shared" si="8"/>
        <v>0.0021861923410061053</v>
      </c>
      <c r="E109" s="16">
        <f t="shared" si="8"/>
        <v>0.006739177988364334</v>
      </c>
      <c r="F109" s="16">
        <f t="shared" si="8"/>
        <v>0.01222442788123328</v>
      </c>
      <c r="G109" s="16">
        <f t="shared" si="8"/>
        <v>0.0035676411351025683</v>
      </c>
      <c r="H109" s="16">
        <f t="shared" si="8"/>
        <v>-0.000672910776665817</v>
      </c>
    </row>
    <row r="110" spans="1:8" ht="12.75">
      <c r="A110" t="s">
        <v>56</v>
      </c>
      <c r="D110" s="16">
        <f t="shared" si="8"/>
        <v>-0.0019314521442757762</v>
      </c>
      <c r="E110" s="16">
        <f t="shared" si="8"/>
        <v>0.02381087870702625</v>
      </c>
      <c r="F110" s="16">
        <f t="shared" si="8"/>
        <v>0.023122087644436653</v>
      </c>
      <c r="G110" s="16">
        <f t="shared" si="8"/>
        <v>0.0020334894469018375</v>
      </c>
      <c r="H110" s="16">
        <f t="shared" si="8"/>
        <v>0.010287180916193562</v>
      </c>
    </row>
    <row r="111" spans="1:8" ht="12.75">
      <c r="A111" t="s">
        <v>20</v>
      </c>
      <c r="D111" s="16">
        <f t="shared" si="8"/>
        <v>0.0013304219117362104</v>
      </c>
      <c r="E111" s="16">
        <f t="shared" si="8"/>
        <v>0.0051227192341258485</v>
      </c>
      <c r="F111" s="16">
        <f t="shared" si="8"/>
        <v>0.010291866896619742</v>
      </c>
      <c r="G111" s="16">
        <f t="shared" si="8"/>
        <v>-9.675104971483779E-05</v>
      </c>
      <c r="H111" s="16">
        <f t="shared" si="8"/>
        <v>0.03751121234443613</v>
      </c>
    </row>
    <row r="112" spans="1:8" ht="12.75">
      <c r="A112" t="s">
        <v>25</v>
      </c>
      <c r="D112" s="16">
        <f t="shared" si="8"/>
        <v>0.016754694364478843</v>
      </c>
      <c r="E112" s="16">
        <f t="shared" si="8"/>
        <v>0.00868434741158614</v>
      </c>
      <c r="F112" s="16">
        <f t="shared" si="8"/>
        <v>0.015368999360590505</v>
      </c>
      <c r="G112" s="16">
        <f t="shared" si="8"/>
        <v>0.0007382866567784321</v>
      </c>
      <c r="H112" s="16">
        <f t="shared" si="8"/>
        <v>-0.00028845475189198064</v>
      </c>
    </row>
    <row r="113" spans="1:8" ht="12.75">
      <c r="A113" t="s">
        <v>57</v>
      </c>
      <c r="D113" s="16">
        <f t="shared" si="8"/>
        <v>0.002826682588989477</v>
      </c>
      <c r="E113" s="16">
        <f t="shared" si="8"/>
        <v>0.007638684993402448</v>
      </c>
      <c r="F113" s="16">
        <f t="shared" si="8"/>
        <v>0.013913013269521058</v>
      </c>
      <c r="G113" s="16">
        <f t="shared" si="8"/>
        <v>0.0005285727106648041</v>
      </c>
      <c r="H113" s="16">
        <f t="shared" si="8"/>
        <v>-0.00042462886018904226</v>
      </c>
    </row>
    <row r="114" spans="1:8" ht="12.75">
      <c r="A114" t="s">
        <v>58</v>
      </c>
      <c r="D114" s="16">
        <f t="shared" si="8"/>
        <v>0.008065793862076327</v>
      </c>
      <c r="E114" s="16">
        <f t="shared" si="8"/>
        <v>0.05613268332011658</v>
      </c>
      <c r="F114" s="16">
        <f t="shared" si="8"/>
        <v>0.021232363084264527</v>
      </c>
      <c r="G114" s="16">
        <f t="shared" si="8"/>
        <v>0.005109302853549834</v>
      </c>
      <c r="H114" s="16">
        <f t="shared" si="8"/>
        <v>0.013949009336369004</v>
      </c>
    </row>
    <row r="115" spans="1:8" ht="12.75">
      <c r="A115" t="s">
        <v>59</v>
      </c>
      <c r="D115" s="16">
        <f t="shared" si="8"/>
        <v>0.0021729948389201327</v>
      </c>
      <c r="E115" s="16">
        <f t="shared" si="8"/>
        <v>0.006962882184207699</v>
      </c>
      <c r="F115" s="16">
        <f t="shared" si="8"/>
        <v>0.009809393011548661</v>
      </c>
      <c r="G115" s="16">
        <f t="shared" si="8"/>
        <v>0.000835583176416577</v>
      </c>
      <c r="H115" s="16">
        <f t="shared" si="8"/>
        <v>0.004710512082276548</v>
      </c>
    </row>
    <row r="116" spans="4:8" ht="12.75">
      <c r="D116" s="16"/>
      <c r="E116" s="16"/>
      <c r="F116" s="16"/>
      <c r="G116" s="16"/>
      <c r="H116" s="16"/>
    </row>
    <row r="117" spans="1:8" ht="12.75">
      <c r="A117" t="s">
        <v>92</v>
      </c>
      <c r="D117" s="25">
        <f>MAX(D93:D115)</f>
        <v>0.03366239059289772</v>
      </c>
      <c r="E117" s="25">
        <f>MAX(E93:E115)</f>
        <v>0.05613268332011658</v>
      </c>
      <c r="F117" s="25">
        <f>MAX(F93:F115)</f>
        <v>0.05103933278545407</v>
      </c>
      <c r="G117" s="25">
        <f>MAX(G93:G115)</f>
        <v>0.011047864824303127</v>
      </c>
      <c r="H117" s="25">
        <f>MAX(H93:H115)</f>
        <v>0.03751121234443613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workbookViewId="0" topLeftCell="A1">
      <selection activeCell="D22" sqref="D22"/>
    </sheetView>
  </sheetViews>
  <sheetFormatPr defaultColWidth="9.140625" defaultRowHeight="12.75"/>
  <cols>
    <col min="1" max="1" width="21.8515625" style="0" bestFit="1" customWidth="1"/>
    <col min="2" max="2" width="11.28125" style="0" bestFit="1" customWidth="1"/>
    <col min="3" max="3" width="12.28125" style="0" customWidth="1"/>
    <col min="4" max="9" width="13.421875" style="0" customWidth="1"/>
    <col min="10" max="10" width="9.7109375" style="0" bestFit="1" customWidth="1"/>
    <col min="13" max="13" width="15.00390625" style="4" bestFit="1" customWidth="1"/>
    <col min="14" max="14" width="16.00390625" style="0" bestFit="1" customWidth="1"/>
  </cols>
  <sheetData>
    <row r="2" ht="12.75">
      <c r="D2" t="s">
        <v>71</v>
      </c>
    </row>
    <row r="4" spans="2:14" ht="12.75">
      <c r="B4" s="22" t="s">
        <v>68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</row>
    <row r="5" spans="1:12" ht="12.75">
      <c r="A5" t="s">
        <v>42</v>
      </c>
      <c r="B5" s="5">
        <v>2908001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/>
      <c r="J5" s="4"/>
      <c r="K5" s="4"/>
      <c r="L5" s="4"/>
    </row>
    <row r="6" spans="1:14" ht="12.75">
      <c r="A6" t="s">
        <v>48</v>
      </c>
      <c r="B6" s="5">
        <v>10185826</v>
      </c>
      <c r="C6" s="4">
        <v>14300000</v>
      </c>
      <c r="D6" s="4">
        <v>0</v>
      </c>
      <c r="E6" s="4">
        <f>8100000+364645723</f>
        <v>372745723</v>
      </c>
      <c r="F6" s="4">
        <f>12200000+10800000+2100000+2100000+90200000+113800000</f>
        <v>231200000</v>
      </c>
      <c r="G6" s="4">
        <f>1506733+7888517+63249004</f>
        <v>72644254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46700000</v>
      </c>
      <c r="N6" s="6">
        <v>0</v>
      </c>
    </row>
    <row r="7" spans="1:14" ht="12.75">
      <c r="A7" t="s">
        <v>72</v>
      </c>
      <c r="B7" s="5">
        <v>1022584</v>
      </c>
      <c r="C7" s="4">
        <v>0</v>
      </c>
      <c r="D7" s="4">
        <v>1042900</v>
      </c>
      <c r="E7" s="4">
        <v>0</v>
      </c>
      <c r="F7" s="4">
        <v>119500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6">
        <v>0</v>
      </c>
    </row>
    <row r="8" spans="1:14" ht="12.75">
      <c r="A8" t="s">
        <v>60</v>
      </c>
      <c r="B8" s="5">
        <v>9575917</v>
      </c>
      <c r="C8" s="4">
        <v>200000</v>
      </c>
      <c r="D8" s="4">
        <f>588366+6093584+5175365+152390+1600000</f>
        <v>13609705</v>
      </c>
      <c r="E8" s="4">
        <v>5693186</v>
      </c>
      <c r="F8" s="4">
        <f>429000+429000</f>
        <v>858000</v>
      </c>
      <c r="G8" s="4">
        <v>173193</v>
      </c>
      <c r="H8" s="4">
        <v>5000000</v>
      </c>
      <c r="I8" s="4">
        <v>0</v>
      </c>
      <c r="J8" s="4">
        <v>554000</v>
      </c>
      <c r="K8" s="4">
        <v>0</v>
      </c>
      <c r="L8" s="4">
        <v>0</v>
      </c>
      <c r="M8" s="4">
        <v>0</v>
      </c>
      <c r="N8" s="6">
        <v>0</v>
      </c>
    </row>
    <row r="9" spans="1:14" ht="12.75">
      <c r="A9" t="s">
        <v>49</v>
      </c>
      <c r="B9" s="5">
        <v>207000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6">
        <v>0</v>
      </c>
    </row>
    <row r="10" spans="1:14" ht="12.75">
      <c r="A10" t="s">
        <v>29</v>
      </c>
      <c r="B10" s="5">
        <v>325000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6">
        <v>0</v>
      </c>
    </row>
    <row r="11" spans="1:14" ht="12.75">
      <c r="A11" t="s">
        <v>18</v>
      </c>
      <c r="B11" s="5">
        <v>953326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f>11533012+22302076</f>
        <v>33835088</v>
      </c>
      <c r="J11" s="4">
        <v>0</v>
      </c>
      <c r="K11" s="4">
        <v>0</v>
      </c>
      <c r="L11" s="4">
        <v>0</v>
      </c>
      <c r="M11" s="4">
        <v>0</v>
      </c>
      <c r="N11" s="6">
        <v>0</v>
      </c>
    </row>
    <row r="12" spans="1:14" ht="12.75">
      <c r="A12" t="s">
        <v>50</v>
      </c>
      <c r="B12" s="5">
        <v>9407567</v>
      </c>
      <c r="C12" s="4">
        <f>29966200</f>
        <v>29966200</v>
      </c>
      <c r="D12" s="6">
        <f>605900+303900+184100+283200</f>
        <v>1377100</v>
      </c>
      <c r="E12" s="4">
        <f>6256900+10210700+1615100+1897100</f>
        <v>19979800</v>
      </c>
      <c r="F12" s="4">
        <v>1873100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6">
        <v>0</v>
      </c>
    </row>
    <row r="13" spans="1:14" ht="12.75">
      <c r="A13" t="s">
        <v>51</v>
      </c>
      <c r="B13" s="5">
        <v>10940249</v>
      </c>
      <c r="C13" s="4">
        <v>0</v>
      </c>
      <c r="D13" s="4">
        <v>1815566</v>
      </c>
      <c r="E13" s="4">
        <v>8405000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6">
        <v>0</v>
      </c>
    </row>
    <row r="14" spans="1:14" ht="12.75">
      <c r="A14" t="s">
        <v>17</v>
      </c>
      <c r="B14" s="5">
        <v>2860240</v>
      </c>
      <c r="C14" s="4">
        <v>0</v>
      </c>
      <c r="D14" s="4">
        <v>0</v>
      </c>
      <c r="E14" s="4">
        <v>3392400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6">
        <v>0</v>
      </c>
    </row>
    <row r="15" spans="1:14" ht="12.75">
      <c r="A15" t="s">
        <v>52</v>
      </c>
      <c r="B15" s="5">
        <v>571800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6">
        <v>0</v>
      </c>
    </row>
    <row r="16" spans="1:14" ht="12.75">
      <c r="A16" t="s">
        <v>53</v>
      </c>
      <c r="B16" s="5">
        <v>3517917</v>
      </c>
      <c r="C16" s="4">
        <v>0</v>
      </c>
      <c r="D16" s="4">
        <v>0</v>
      </c>
      <c r="E16" s="4">
        <f>2283900+12991400+46149200</f>
        <v>61424500</v>
      </c>
      <c r="F16" s="4">
        <f>7108700+4242100+4242100+4242100</f>
        <v>19835000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6">
        <v>0</v>
      </c>
    </row>
    <row r="17" spans="1:14" ht="12.75">
      <c r="A17" t="s">
        <v>28</v>
      </c>
      <c r="B17" s="5">
        <v>9238083</v>
      </c>
      <c r="C17" s="4">
        <f>5000000+1750000+1750000+5000000+5000000</f>
        <v>18500000</v>
      </c>
      <c r="D17" s="4">
        <f>10000000+5000000+3000000</f>
        <v>18000000</v>
      </c>
      <c r="E17" s="4">
        <f>80000000+5000000+6000000+5000000</f>
        <v>96000000</v>
      </c>
      <c r="F17" s="4">
        <f>6000000+1100000+600000+13500000+600000+5000000</f>
        <v>26800000</v>
      </c>
      <c r="G17" s="4">
        <f>5000000+3000000+500000+500000+5000000+5000000+5000000</f>
        <v>24000000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6">
        <v>0</v>
      </c>
    </row>
    <row r="18" spans="1:14" ht="12.75">
      <c r="A18" t="s">
        <v>54</v>
      </c>
      <c r="B18" s="5">
        <v>2574417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6">
        <v>0</v>
      </c>
    </row>
    <row r="19" spans="1:14" ht="12.75">
      <c r="A19" t="s">
        <v>55</v>
      </c>
      <c r="B19" s="5">
        <v>7116500</v>
      </c>
      <c r="C19" s="4">
        <f>258000+3000000+2415000+3000000</f>
        <v>8673000</v>
      </c>
      <c r="D19" s="6">
        <f>794000+1000000+1000000+13500000+20000+5730000</f>
        <v>22044000</v>
      </c>
      <c r="E19" s="4">
        <v>9670000</v>
      </c>
      <c r="F19" s="4">
        <v>9742000</v>
      </c>
      <c r="G19" s="4">
        <v>10000000</v>
      </c>
      <c r="H19" s="4">
        <f>77132000+10000000</f>
        <v>87132000</v>
      </c>
      <c r="I19" s="6">
        <f>500000+10000000+13000000</f>
        <v>23500000</v>
      </c>
      <c r="J19" s="4"/>
      <c r="K19" s="4"/>
      <c r="L19" s="4"/>
      <c r="N19" s="6">
        <v>0</v>
      </c>
    </row>
    <row r="20" spans="1:14" ht="12.75">
      <c r="A20" t="s">
        <v>26</v>
      </c>
      <c r="B20" s="5">
        <v>1680898</v>
      </c>
      <c r="C20" s="4">
        <v>0</v>
      </c>
      <c r="D20" s="4">
        <v>0</v>
      </c>
      <c r="E20" s="4">
        <v>10400000</v>
      </c>
      <c r="F20" s="4">
        <v>0</v>
      </c>
      <c r="G20" s="4">
        <v>0</v>
      </c>
      <c r="H20" s="4">
        <v>0</v>
      </c>
      <c r="I20" s="4">
        <v>20334929</v>
      </c>
      <c r="J20" s="4">
        <v>0</v>
      </c>
      <c r="K20" s="4">
        <v>0</v>
      </c>
      <c r="L20" s="4">
        <v>0</v>
      </c>
      <c r="M20" s="4">
        <v>0</v>
      </c>
      <c r="N20" s="6">
        <v>0</v>
      </c>
    </row>
    <row r="21" spans="1:14" ht="12.75">
      <c r="A21" t="s">
        <v>24</v>
      </c>
      <c r="B21" s="5">
        <v>553279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6">
        <v>0</v>
      </c>
    </row>
    <row r="22" spans="1:14" ht="12.75">
      <c r="A22" t="s">
        <v>56</v>
      </c>
      <c r="B22" s="5">
        <v>7727545</v>
      </c>
      <c r="C22" s="4">
        <v>0</v>
      </c>
      <c r="D22" s="4">
        <f>807000+3001443+5792805+37070397+5792805+44966947+10100000</f>
        <v>107531397</v>
      </c>
      <c r="E22" s="4">
        <v>0</v>
      </c>
      <c r="F22" s="4">
        <v>0</v>
      </c>
      <c r="G22" s="4">
        <v>0</v>
      </c>
      <c r="H22" s="4">
        <f>9000000+9000000+82000000+41000000+12179190</f>
        <v>153179190</v>
      </c>
      <c r="I22" s="4">
        <f>93485197+180777924</f>
        <v>274263121</v>
      </c>
      <c r="J22" s="4">
        <v>0</v>
      </c>
      <c r="K22" s="4">
        <v>0</v>
      </c>
      <c r="L22" s="4">
        <v>0</v>
      </c>
      <c r="M22" s="4">
        <v>0</v>
      </c>
      <c r="N22" s="6">
        <v>0</v>
      </c>
    </row>
    <row r="23" spans="1:14" ht="12.75">
      <c r="A23" t="s">
        <v>20</v>
      </c>
      <c r="B23" s="5">
        <v>700616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6">
        <v>0</v>
      </c>
    </row>
    <row r="24" spans="1:14" ht="12.75">
      <c r="A24" t="s">
        <v>25</v>
      </c>
      <c r="B24" s="5">
        <v>343000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6">
        <v>0</v>
      </c>
    </row>
    <row r="25" spans="1:14" ht="12.75">
      <c r="A25" t="s">
        <v>57</v>
      </c>
      <c r="B25" s="5">
        <v>255700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6">
        <v>0</v>
      </c>
    </row>
    <row r="26" spans="1:14" ht="12.75">
      <c r="A26" t="s">
        <v>58</v>
      </c>
      <c r="B26" s="5">
        <v>1028167</v>
      </c>
      <c r="C26" s="4">
        <v>13225000</v>
      </c>
      <c r="D26" s="4">
        <v>0</v>
      </c>
      <c r="E26" s="4">
        <v>0</v>
      </c>
      <c r="F26" s="4">
        <f>5400000+24750000+21750000</f>
        <v>51900000</v>
      </c>
      <c r="G26" s="4">
        <v>0</v>
      </c>
      <c r="H26" s="4">
        <f>26050000+8400000+38625000</f>
        <v>73075000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6">
        <v>0</v>
      </c>
    </row>
    <row r="27" spans="1:14" ht="12.75">
      <c r="A27" t="s">
        <v>59</v>
      </c>
      <c r="B27" s="5">
        <v>3511000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2756011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6">
        <v>398746149</v>
      </c>
    </row>
    <row r="28" spans="2:12" ht="12.75"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t="s">
        <v>69</v>
      </c>
      <c r="B29" s="5">
        <f>SUM(B5:B27)</f>
        <v>87204632</v>
      </c>
      <c r="C29" s="4">
        <f aca="true" t="shared" si="0" ref="C29:I29">SUM(C5:C27)</f>
        <v>84864200</v>
      </c>
      <c r="D29" s="4">
        <f t="shared" si="0"/>
        <v>165420668</v>
      </c>
      <c r="E29" s="4">
        <f t="shared" si="0"/>
        <v>587710609</v>
      </c>
      <c r="F29" s="4">
        <f t="shared" si="0"/>
        <v>342327600</v>
      </c>
      <c r="G29" s="4">
        <f t="shared" si="0"/>
        <v>106817447</v>
      </c>
      <c r="H29" s="4">
        <f t="shared" si="0"/>
        <v>321142201</v>
      </c>
      <c r="I29" s="4">
        <f t="shared" si="0"/>
        <v>351933138</v>
      </c>
      <c r="J29" s="4"/>
      <c r="K29" s="4"/>
      <c r="L29" s="4"/>
    </row>
    <row r="30" spans="1:12" ht="12.75">
      <c r="A30" t="s">
        <v>74</v>
      </c>
      <c r="C30" s="4">
        <f>C29*0.2</f>
        <v>16972840</v>
      </c>
      <c r="D30" s="4">
        <f aca="true" t="shared" si="1" ref="D30:I30">D29*0.2</f>
        <v>33084133.6</v>
      </c>
      <c r="E30" s="4">
        <f t="shared" si="1"/>
        <v>117542121.80000001</v>
      </c>
      <c r="F30" s="4">
        <f t="shared" si="1"/>
        <v>68465520</v>
      </c>
      <c r="G30" s="4">
        <f t="shared" si="1"/>
        <v>21363489.400000002</v>
      </c>
      <c r="H30" s="4">
        <f t="shared" si="1"/>
        <v>64228440.2</v>
      </c>
      <c r="I30" s="4">
        <f t="shared" si="1"/>
        <v>70386627.60000001</v>
      </c>
      <c r="J30" s="4"/>
      <c r="K30" s="4"/>
      <c r="L30" s="4"/>
    </row>
    <row r="32" spans="1:9" ht="12.75">
      <c r="A32" t="s">
        <v>75</v>
      </c>
      <c r="C32" s="1">
        <f>C30/(B$29*1.025)</f>
        <v>0.18988519202377838</v>
      </c>
      <c r="D32" s="1">
        <f>D30/(C$29*1.025*1.025)</f>
        <v>0.37106288218169775</v>
      </c>
      <c r="E32" s="1">
        <f>E30/(D$29*1.025*1.025*1.025)</f>
        <v>0.659830155333053</v>
      </c>
      <c r="F32" s="1">
        <f>F30/(E$29*1.025*1.025*1.025*1.025)</f>
        <v>0.1055389864343091</v>
      </c>
      <c r="G32" s="1">
        <f>G30/(F$29*1.025*1.025*1.025*1.025*1.025)</f>
        <v>0.05515830948042308</v>
      </c>
      <c r="H32" s="1">
        <f>H30/(G$29*1.025*1.025*1.025*1.025*1.025*1.025)</f>
        <v>0.5184919153702644</v>
      </c>
      <c r="I32" s="1">
        <f>I30/(H$29*1.025*1.025*1.025*1.025*1.025*1.025*1.025)</f>
        <v>0.18438505630919277</v>
      </c>
    </row>
    <row r="33" spans="1:9" ht="12.75">
      <c r="A33" t="s">
        <v>78</v>
      </c>
      <c r="C33" s="2">
        <f>C32</f>
        <v>0.18988519202377838</v>
      </c>
      <c r="D33" s="2">
        <f>C32+D32</f>
        <v>0.5609480742054761</v>
      </c>
      <c r="E33" s="2">
        <f>C32+D32+E32</f>
        <v>1.2207782295385292</v>
      </c>
      <c r="F33" s="2">
        <f>C32+D32+E32+F32</f>
        <v>1.3263172159728382</v>
      </c>
      <c r="G33" s="2">
        <f>SUM(C32:G32)</f>
        <v>1.3814755254532614</v>
      </c>
      <c r="H33" s="2">
        <f>SUM(C32:H32)</f>
        <v>1.8999674408235259</v>
      </c>
      <c r="I33" s="2">
        <f>SUM(C32:I32)</f>
        <v>2.0843524971327185</v>
      </c>
    </row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E24" sqref="E24"/>
    </sheetView>
  </sheetViews>
  <sheetFormatPr defaultColWidth="9.140625" defaultRowHeight="12.75"/>
  <cols>
    <col min="2" max="2" width="10.140625" style="0" bestFit="1" customWidth="1"/>
    <col min="3" max="3" width="11.00390625" style="0" bestFit="1" customWidth="1"/>
    <col min="5" max="5" width="9.140625" style="16" customWidth="1"/>
  </cols>
  <sheetData>
    <row r="1" ht="12.75">
      <c r="C1" t="s">
        <v>1</v>
      </c>
    </row>
    <row r="2" spans="2:5" ht="12.75">
      <c r="B2" s="12" t="s">
        <v>8</v>
      </c>
      <c r="C2" s="3" t="s">
        <v>23</v>
      </c>
      <c r="D2" s="12" t="s">
        <v>9</v>
      </c>
      <c r="E2" s="15" t="s">
        <v>10</v>
      </c>
    </row>
    <row r="3" spans="1:5" ht="12.75">
      <c r="A3" t="s">
        <v>7</v>
      </c>
      <c r="B3" s="13">
        <v>0.871</v>
      </c>
      <c r="C3" s="13">
        <v>0.913</v>
      </c>
      <c r="D3" s="1">
        <f>C3-B3</f>
        <v>0.04200000000000004</v>
      </c>
      <c r="E3" s="16">
        <f>D3/B3</f>
        <v>0.048220436280137814</v>
      </c>
    </row>
    <row r="4" spans="1:5" ht="12.75">
      <c r="A4" t="s">
        <v>11</v>
      </c>
      <c r="B4" s="13">
        <v>1.224</v>
      </c>
      <c r="C4" s="13">
        <v>1.252</v>
      </c>
      <c r="D4" s="1">
        <f aca="true" t="shared" si="0" ref="D4:D23">C4-B4</f>
        <v>0.028000000000000025</v>
      </c>
      <c r="E4" s="16">
        <f aca="true" t="shared" si="1" ref="E4:E24">D4/B4</f>
        <v>0.02287581699346407</v>
      </c>
    </row>
    <row r="5" spans="1:5" ht="12.75">
      <c r="A5" t="s">
        <v>12</v>
      </c>
      <c r="B5" s="13">
        <v>1.827</v>
      </c>
      <c r="C5" s="13">
        <v>1.881</v>
      </c>
      <c r="D5" s="1">
        <f t="shared" si="0"/>
        <v>0.05400000000000005</v>
      </c>
      <c r="E5" s="16">
        <f t="shared" si="1"/>
        <v>0.029556650246305445</v>
      </c>
    </row>
    <row r="6" spans="1:5" ht="12.75">
      <c r="A6" t="s">
        <v>13</v>
      </c>
      <c r="B6" s="13">
        <v>0.922</v>
      </c>
      <c r="C6" s="13">
        <v>0.922</v>
      </c>
      <c r="D6" s="1">
        <f t="shared" si="0"/>
        <v>0</v>
      </c>
      <c r="E6" s="16">
        <f t="shared" si="1"/>
        <v>0</v>
      </c>
    </row>
    <row r="7" spans="1:5" ht="12.75">
      <c r="A7" t="s">
        <v>14</v>
      </c>
      <c r="B7" s="13">
        <v>0.833</v>
      </c>
      <c r="C7" s="13">
        <v>0.852</v>
      </c>
      <c r="D7" s="1">
        <f t="shared" si="0"/>
        <v>0.019000000000000017</v>
      </c>
      <c r="E7" s="16">
        <f t="shared" si="1"/>
        <v>0.022809123649459806</v>
      </c>
    </row>
    <row r="8" spans="1:5" ht="12.75">
      <c r="A8" t="s">
        <v>15</v>
      </c>
      <c r="B8" s="13">
        <v>0.72</v>
      </c>
      <c r="C8" s="13">
        <v>0.743</v>
      </c>
      <c r="D8" s="1">
        <f t="shared" si="0"/>
        <v>0.02300000000000002</v>
      </c>
      <c r="E8" s="16">
        <f t="shared" si="1"/>
        <v>0.03194444444444448</v>
      </c>
    </row>
    <row r="9" spans="1:5" ht="12.75">
      <c r="A9" t="s">
        <v>16</v>
      </c>
      <c r="B9" s="13">
        <v>1.111</v>
      </c>
      <c r="C9" s="13">
        <v>1.161</v>
      </c>
      <c r="D9" s="1">
        <f t="shared" si="0"/>
        <v>0.050000000000000044</v>
      </c>
      <c r="E9" s="16">
        <f t="shared" si="1"/>
        <v>0.045004500450045046</v>
      </c>
    </row>
    <row r="10" spans="1:5" ht="12.75">
      <c r="A10" t="s">
        <v>17</v>
      </c>
      <c r="B10" s="13">
        <v>2.2</v>
      </c>
      <c r="C10" s="13">
        <v>2.281</v>
      </c>
      <c r="D10" s="1">
        <f t="shared" si="0"/>
        <v>0.08099999999999996</v>
      </c>
      <c r="E10" s="16">
        <f t="shared" si="1"/>
        <v>0.0368181818181818</v>
      </c>
    </row>
    <row r="11" spans="1:5" ht="12.75">
      <c r="A11" t="s">
        <v>18</v>
      </c>
      <c r="B11" s="13">
        <v>2.321</v>
      </c>
      <c r="C11" s="13">
        <v>2.357</v>
      </c>
      <c r="D11" s="1">
        <f t="shared" si="0"/>
        <v>0.03600000000000003</v>
      </c>
      <c r="E11" s="16">
        <f t="shared" si="1"/>
        <v>0.015510555794915996</v>
      </c>
    </row>
    <row r="12" spans="1:5" ht="12.75">
      <c r="A12" t="s">
        <v>19</v>
      </c>
      <c r="B12" s="13">
        <v>0.897</v>
      </c>
      <c r="C12" s="13">
        <v>0.932</v>
      </c>
      <c r="D12" s="1">
        <f t="shared" si="0"/>
        <v>0.03500000000000003</v>
      </c>
      <c r="E12" s="16">
        <f t="shared" si="1"/>
        <v>0.039018952062430355</v>
      </c>
    </row>
    <row r="13" spans="1:5" ht="12.75">
      <c r="A13" t="s">
        <v>20</v>
      </c>
      <c r="B13" s="13">
        <v>3.255</v>
      </c>
      <c r="C13" s="13">
        <v>3.32</v>
      </c>
      <c r="D13" s="1">
        <f t="shared" si="0"/>
        <v>0.06499999999999995</v>
      </c>
      <c r="E13" s="16">
        <f t="shared" si="1"/>
        <v>0.019969278033794148</v>
      </c>
    </row>
    <row r="14" spans="1:5" ht="12.75">
      <c r="A14" t="s">
        <v>21</v>
      </c>
      <c r="B14" s="13">
        <v>0.777</v>
      </c>
      <c r="C14" s="13">
        <v>0.81</v>
      </c>
      <c r="D14" s="1">
        <f t="shared" si="0"/>
        <v>0.03300000000000003</v>
      </c>
      <c r="E14" s="16">
        <f t="shared" si="1"/>
        <v>0.042471042471042504</v>
      </c>
    </row>
    <row r="15" spans="1:5" ht="12.75">
      <c r="A15" t="s">
        <v>22</v>
      </c>
      <c r="B15" s="13">
        <v>0.791</v>
      </c>
      <c r="C15" s="13">
        <v>0.813</v>
      </c>
      <c r="D15" s="1">
        <f t="shared" si="0"/>
        <v>0.02199999999999991</v>
      </c>
      <c r="E15" s="16">
        <f t="shared" si="1"/>
        <v>0.02781289506953212</v>
      </c>
    </row>
    <row r="16" spans="1:5" ht="12.75">
      <c r="A16" t="s">
        <v>24</v>
      </c>
      <c r="B16" s="13">
        <v>3.054</v>
      </c>
      <c r="C16" s="13">
        <v>3.113</v>
      </c>
      <c r="D16" s="1">
        <f t="shared" si="0"/>
        <v>0.05900000000000016</v>
      </c>
      <c r="E16" s="16">
        <f t="shared" si="1"/>
        <v>0.019318925998690298</v>
      </c>
    </row>
    <row r="17" spans="1:5" ht="12.75">
      <c r="A17" t="s">
        <v>25</v>
      </c>
      <c r="B17" s="13">
        <v>2.196</v>
      </c>
      <c r="C17" s="13">
        <v>2.229</v>
      </c>
      <c r="D17" s="1">
        <f t="shared" si="0"/>
        <v>0.03299999999999992</v>
      </c>
      <c r="E17" s="16">
        <f t="shared" si="1"/>
        <v>0.015027322404371546</v>
      </c>
    </row>
    <row r="18" spans="1:5" ht="12.75">
      <c r="A18" t="s">
        <v>26</v>
      </c>
      <c r="B18" s="13">
        <v>1.512</v>
      </c>
      <c r="C18" s="13">
        <v>1.552</v>
      </c>
      <c r="D18" s="1">
        <f t="shared" si="0"/>
        <v>0.040000000000000036</v>
      </c>
      <c r="E18" s="16">
        <f t="shared" si="1"/>
        <v>0.026455026455026478</v>
      </c>
    </row>
    <row r="19" spans="1:5" ht="12.75">
      <c r="A19" t="s">
        <v>27</v>
      </c>
      <c r="B19" s="13">
        <v>2.162</v>
      </c>
      <c r="C19" s="13">
        <v>2.224</v>
      </c>
      <c r="D19" s="1">
        <f t="shared" si="0"/>
        <v>0.06200000000000028</v>
      </c>
      <c r="E19" s="16">
        <f t="shared" si="1"/>
        <v>0.028677150786309103</v>
      </c>
    </row>
    <row r="20" spans="1:5" ht="12.75">
      <c r="A20" t="s">
        <v>28</v>
      </c>
      <c r="B20" s="13">
        <v>1.594</v>
      </c>
      <c r="C20" s="13">
        <v>1.625</v>
      </c>
      <c r="D20" s="1">
        <f t="shared" si="0"/>
        <v>0.030999999999999917</v>
      </c>
      <c r="E20" s="16">
        <f t="shared" si="1"/>
        <v>0.019447929736511865</v>
      </c>
    </row>
    <row r="21" spans="1:5" ht="12.75">
      <c r="A21" t="s">
        <v>29</v>
      </c>
      <c r="B21" s="13">
        <v>0.961</v>
      </c>
      <c r="C21" s="13">
        <v>0.991</v>
      </c>
      <c r="D21" s="1">
        <f t="shared" si="0"/>
        <v>0.030000000000000027</v>
      </c>
      <c r="E21" s="16">
        <f t="shared" si="1"/>
        <v>0.03121748178980232</v>
      </c>
    </row>
    <row r="22" spans="1:5" ht="12.75">
      <c r="A22" t="s">
        <v>30</v>
      </c>
      <c r="B22" s="13">
        <v>3.268</v>
      </c>
      <c r="C22" s="13">
        <v>3.306</v>
      </c>
      <c r="D22" s="1">
        <f t="shared" si="0"/>
        <v>0.038000000000000256</v>
      </c>
      <c r="E22" s="16">
        <f t="shared" si="1"/>
        <v>0.011627906976744266</v>
      </c>
    </row>
    <row r="23" spans="1:5" ht="12.75">
      <c r="A23" t="s">
        <v>31</v>
      </c>
      <c r="B23" s="13">
        <v>2.628</v>
      </c>
      <c r="C23" s="13">
        <v>2.748</v>
      </c>
      <c r="D23" s="1">
        <f t="shared" si="0"/>
        <v>0.1200000000000001</v>
      </c>
      <c r="E23" s="16">
        <f t="shared" si="1"/>
        <v>0.045662100456621044</v>
      </c>
    </row>
    <row r="24" spans="1:5" ht="12.75">
      <c r="A24" t="s">
        <v>32</v>
      </c>
      <c r="B24" s="13">
        <f>SUM(B3:B23)/21</f>
        <v>1.6725714285714284</v>
      </c>
      <c r="C24" s="13">
        <f>SUM(C3:C23)/21</f>
        <v>1.7154761904761902</v>
      </c>
      <c r="D24" s="13">
        <f>SUM(D3:D23)/21</f>
        <v>0.042904761904761946</v>
      </c>
      <c r="E24" s="18">
        <f t="shared" si="1"/>
        <v>0.025651975856963927</v>
      </c>
    </row>
    <row r="25" spans="2:5" ht="12.75">
      <c r="B25" s="13"/>
      <c r="E25"/>
    </row>
    <row r="26" spans="2:5" ht="12.75">
      <c r="B26" s="13"/>
      <c r="E26" s="17">
        <f>SUM(E3:E23)/21</f>
        <v>0.027592653424658595</v>
      </c>
    </row>
    <row r="27" spans="2:5" ht="12.75">
      <c r="B27" s="13"/>
      <c r="E27"/>
    </row>
    <row r="28" spans="2:5" ht="12.75">
      <c r="B28" s="13"/>
      <c r="E28"/>
    </row>
    <row r="29" spans="2:5" ht="12.75">
      <c r="B29" s="13"/>
      <c r="E29"/>
    </row>
    <row r="30" spans="2:3" ht="12.75">
      <c r="B30" s="14"/>
      <c r="C30" s="14"/>
    </row>
    <row r="31" spans="2:3" ht="12.75">
      <c r="B31" s="14"/>
      <c r="C31" s="14"/>
    </row>
    <row r="32" spans="2:3" ht="12.75">
      <c r="B32" s="14"/>
      <c r="C32" s="14"/>
    </row>
    <row r="33" spans="2:3" ht="12.75">
      <c r="B33" s="14"/>
      <c r="C33" s="14"/>
    </row>
    <row r="34" spans="2:3" ht="12.75">
      <c r="B34" s="14"/>
      <c r="C34" s="14"/>
    </row>
    <row r="35" spans="2:3" ht="12.75">
      <c r="B35" s="14"/>
      <c r="C35" s="14"/>
    </row>
    <row r="36" spans="2:3" ht="12.75">
      <c r="B36" s="14"/>
      <c r="C36" s="14"/>
    </row>
    <row r="37" spans="2:3" ht="12.75">
      <c r="B37" s="14"/>
      <c r="C37" s="1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5" sqref="C15"/>
    </sheetView>
  </sheetViews>
  <sheetFormatPr defaultColWidth="9.140625" defaultRowHeight="12.75"/>
  <cols>
    <col min="1" max="1" width="22.140625" style="0" bestFit="1" customWidth="1"/>
    <col min="2" max="2" width="11.28125" style="0" bestFit="1" customWidth="1"/>
    <col min="3" max="7" width="13.421875" style="0" bestFit="1" customWidth="1"/>
  </cols>
  <sheetData>
    <row r="1" ht="12.75">
      <c r="A1" s="21" t="s">
        <v>43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0.847</v>
      </c>
      <c r="C3" s="2">
        <f>B3+C4+C5+C9</f>
        <v>0.8062946950389159</v>
      </c>
      <c r="D3" s="2">
        <f>C3+D4+D5+D9</f>
        <v>0.7813524054931588</v>
      </c>
      <c r="E3" s="2">
        <f>D3+E4+E5+E9</f>
        <v>0.7415034328130076</v>
      </c>
      <c r="F3" s="2">
        <f>E3+F4+F5+F9</f>
        <v>0.7105350934110413</v>
      </c>
      <c r="G3" s="2">
        <f>F3+G4+G5+G9</f>
        <v>0.6742978036470781</v>
      </c>
    </row>
    <row r="4" spans="1:7" ht="12.75">
      <c r="A4" t="s">
        <v>1</v>
      </c>
      <c r="C4" s="2">
        <f>-0.026*B3</f>
        <v>-0.022022</v>
      </c>
      <c r="D4" s="2">
        <f>-0.026*C3</f>
        <v>-0.020963662071011812</v>
      </c>
      <c r="E4" s="2">
        <f>-0.026*D3</f>
        <v>-0.020315162542822125</v>
      </c>
      <c r="F4" s="2">
        <f>-0.026*E3</f>
        <v>-0.019279089253138197</v>
      </c>
      <c r="G4" s="2">
        <f>-0.026*F3</f>
        <v>-0.01847391242868707</v>
      </c>
    </row>
    <row r="5" spans="1:7" ht="12.75">
      <c r="A5" t="s">
        <v>2</v>
      </c>
      <c r="C5" s="2">
        <f>-0.025*B3</f>
        <v>-0.021175</v>
      </c>
      <c r="D5" s="2">
        <f>-0.025*C3</f>
        <v>-0.0201573673759729</v>
      </c>
      <c r="E5" s="2">
        <f>-0.025*D3</f>
        <v>-0.01953381013732897</v>
      </c>
      <c r="F5" s="2">
        <f>-0.025*E3</f>
        <v>-0.01853758582032519</v>
      </c>
      <c r="G5" s="2">
        <f>-0.025*F3</f>
        <v>-0.017763377335276033</v>
      </c>
    </row>
    <row r="6" spans="1:7" ht="12.75">
      <c r="A6" t="s">
        <v>3</v>
      </c>
      <c r="C6" s="6">
        <v>156700</v>
      </c>
      <c r="D6" s="4">
        <v>1042900</v>
      </c>
      <c r="E6" s="4">
        <v>0</v>
      </c>
      <c r="F6" s="4">
        <v>463800</v>
      </c>
      <c r="G6" s="4">
        <v>0</v>
      </c>
    </row>
    <row r="7" spans="1:7" ht="12.75">
      <c r="A7" t="s">
        <v>4</v>
      </c>
      <c r="C7" s="4">
        <f>0.2*C6</f>
        <v>31340</v>
      </c>
      <c r="D7" s="4">
        <f>0.2*D6</f>
        <v>208580</v>
      </c>
      <c r="E7" s="4">
        <f>0.2*E6</f>
        <v>0</v>
      </c>
      <c r="F7" s="4">
        <f>0.2*F6</f>
        <v>92760</v>
      </c>
      <c r="G7" s="4">
        <f>0.2*G6</f>
        <v>0</v>
      </c>
    </row>
    <row r="8" spans="1:7" ht="12.75">
      <c r="A8" t="s">
        <v>5</v>
      </c>
      <c r="B8" s="5">
        <v>1022584</v>
      </c>
      <c r="C8" s="5">
        <f>B8*1.025</f>
        <v>1048148.5999999999</v>
      </c>
      <c r="D8" s="5">
        <f>C8*1.025</f>
        <v>1074352.3149999997</v>
      </c>
      <c r="E8" s="5">
        <f>D8*1.025</f>
        <v>1101211.1228749997</v>
      </c>
      <c r="F8" s="5">
        <f>E8*1.025</f>
        <v>1128741.4009468746</v>
      </c>
      <c r="G8" s="5">
        <f>F8*1.025</f>
        <v>1156959.9359705464</v>
      </c>
    </row>
    <row r="9" spans="1:7" ht="12.75">
      <c r="A9" t="s">
        <v>6</v>
      </c>
      <c r="C9" s="1">
        <f>C7/C8/12</f>
        <v>0.00249169503891592</v>
      </c>
      <c r="D9" s="1">
        <f>D7/D8/12</f>
        <v>0.01617873990122753</v>
      </c>
      <c r="E9" s="1">
        <f>E7/E8/12</f>
        <v>0</v>
      </c>
      <c r="F9" s="1">
        <f>F7/F8/12</f>
        <v>0.006848335671497018</v>
      </c>
      <c r="G9" s="1">
        <f>G7/G8/12</f>
        <v>0</v>
      </c>
    </row>
    <row r="11" spans="1:7" ht="12.75">
      <c r="A11" t="s">
        <v>73</v>
      </c>
      <c r="C11" s="23">
        <v>0</v>
      </c>
      <c r="D11" s="23">
        <f>(1042900*0.2)/(12*B8*1.025)</f>
        <v>0.01658320839875822</v>
      </c>
      <c r="E11" s="23">
        <v>0</v>
      </c>
      <c r="F11" s="23">
        <f>(119500*0.2)/(12*B8*1.025*1.025*1.025)</f>
        <v>0.0018086147381683722</v>
      </c>
      <c r="G11" s="4"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0.9936881920237784</v>
      </c>
      <c r="D15" s="2">
        <f>C3+D4+D5+D11+D13</f>
        <v>1.3427049481961655</v>
      </c>
      <c r="E15" s="2">
        <f>D3+E4+E5+E11+E13</f>
        <v>1.9622816623515367</v>
      </c>
      <c r="F15" s="2">
        <f>E3+F4+F5+F11+F13</f>
        <v>2.031812588450551</v>
      </c>
      <c r="G15" s="2">
        <f>F3+G4+G5+G11+G13</f>
        <v>2.0557733291003393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E11" sqref="E11"/>
    </sheetView>
  </sheetViews>
  <sheetFormatPr defaultColWidth="9.140625" defaultRowHeight="12.75"/>
  <cols>
    <col min="1" max="1" width="22.140625" style="0" bestFit="1" customWidth="1"/>
    <col min="2" max="3" width="14.00390625" style="0" bestFit="1" customWidth="1"/>
    <col min="4" max="6" width="12.28125" style="0" bestFit="1" customWidth="1"/>
    <col min="7" max="7" width="11.28125" style="0" bestFit="1" customWidth="1"/>
    <col min="8" max="8" width="15.00390625" style="0" bestFit="1" customWidth="1"/>
    <col min="9" max="11" width="12.28125" style="0" bestFit="1" customWidth="1"/>
  </cols>
  <sheetData>
    <row r="1" ht="12.75">
      <c r="A1" s="21" t="s">
        <v>45</v>
      </c>
    </row>
    <row r="2" spans="2:11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</row>
    <row r="3" spans="1:11" ht="12.75">
      <c r="A3" t="s">
        <v>0</v>
      </c>
      <c r="B3" s="1">
        <v>1.358</v>
      </c>
      <c r="C3" s="2">
        <f aca="true" t="shared" si="0" ref="C3:K3">B3+C4+C5+C9</f>
        <v>1.302644410098506</v>
      </c>
      <c r="D3" s="2">
        <f t="shared" si="0"/>
        <v>1.3188108865624282</v>
      </c>
      <c r="E3" s="2">
        <f t="shared" si="0"/>
        <v>1.2796632312266414</v>
      </c>
      <c r="F3" s="2">
        <f t="shared" si="0"/>
        <v>1.2589716313558243</v>
      </c>
      <c r="G3" s="2">
        <f t="shared" si="0"/>
        <v>1.1975075560473363</v>
      </c>
      <c r="H3" s="2">
        <f t="shared" si="0"/>
        <v>1.1533455114628792</v>
      </c>
      <c r="I3" s="2">
        <f t="shared" si="0"/>
        <v>1.0952569919227715</v>
      </c>
      <c r="J3" s="2">
        <f t="shared" si="0"/>
        <v>1.0401902692481786</v>
      </c>
      <c r="K3" s="2">
        <f t="shared" si="0"/>
        <v>0.9878373903060507</v>
      </c>
    </row>
    <row r="4" spans="1:11" ht="12.75">
      <c r="A4" t="s">
        <v>1</v>
      </c>
      <c r="C4" s="2">
        <f>-0.026*B3</f>
        <v>-0.035308</v>
      </c>
      <c r="D4" s="2">
        <f aca="true" t="shared" si="1" ref="D4:K4">-0.026*C3</f>
        <v>-0.03386875466256115</v>
      </c>
      <c r="E4" s="2">
        <f t="shared" si="1"/>
        <v>-0.03428908305062313</v>
      </c>
      <c r="F4" s="2">
        <f t="shared" si="1"/>
        <v>-0.03327124401189267</v>
      </c>
      <c r="G4" s="2">
        <f t="shared" si="1"/>
        <v>-0.03273326241525143</v>
      </c>
      <c r="H4" s="2">
        <f t="shared" si="1"/>
        <v>-0.031135196457230743</v>
      </c>
      <c r="I4" s="2">
        <f t="shared" si="1"/>
        <v>-0.02998698329803486</v>
      </c>
      <c r="J4" s="2">
        <f t="shared" si="1"/>
        <v>-0.028476681789992058</v>
      </c>
      <c r="K4" s="2">
        <f t="shared" si="1"/>
        <v>-0.02704494700045264</v>
      </c>
    </row>
    <row r="5" spans="1:11" ht="12.75">
      <c r="A5" t="s">
        <v>2</v>
      </c>
      <c r="C5" s="2">
        <f aca="true" t="shared" si="2" ref="C5:K5">-0.025*B3</f>
        <v>-0.03395</v>
      </c>
      <c r="D5" s="2">
        <f t="shared" si="2"/>
        <v>-0.03256611025246265</v>
      </c>
      <c r="E5" s="2">
        <f t="shared" si="2"/>
        <v>-0.032970272164060704</v>
      </c>
      <c r="F5" s="2">
        <f t="shared" si="2"/>
        <v>-0.03199158078066604</v>
      </c>
      <c r="G5" s="2">
        <f t="shared" si="2"/>
        <v>-0.03147429078389561</v>
      </c>
      <c r="H5" s="2">
        <f t="shared" si="2"/>
        <v>-0.02993768890118341</v>
      </c>
      <c r="I5" s="2">
        <f t="shared" si="2"/>
        <v>-0.028833637786571983</v>
      </c>
      <c r="J5" s="2">
        <f t="shared" si="2"/>
        <v>-0.02738142479806929</v>
      </c>
      <c r="K5" s="2">
        <f t="shared" si="2"/>
        <v>-0.026004756731204465</v>
      </c>
    </row>
    <row r="6" spans="1:11" ht="12.75">
      <c r="A6" t="s">
        <v>3</v>
      </c>
      <c r="B6" s="6" t="s">
        <v>33</v>
      </c>
      <c r="C6" s="4">
        <v>8187392</v>
      </c>
      <c r="D6" s="6">
        <v>49861628</v>
      </c>
      <c r="E6" s="6">
        <v>17393634</v>
      </c>
      <c r="F6" s="6">
        <v>28267126</v>
      </c>
      <c r="G6" s="6">
        <v>1783415</v>
      </c>
      <c r="H6" s="4">
        <v>11267823</v>
      </c>
      <c r="I6" s="6">
        <v>500000</v>
      </c>
      <c r="J6" s="6">
        <v>554000</v>
      </c>
      <c r="K6" s="6">
        <v>500000</v>
      </c>
    </row>
    <row r="7" spans="1:11" ht="12.75">
      <c r="A7" t="s">
        <v>4</v>
      </c>
      <c r="C7" s="4">
        <f aca="true" t="shared" si="3" ref="C7:K7">0.2*C6</f>
        <v>1637478.4000000001</v>
      </c>
      <c r="D7" s="4">
        <f t="shared" si="3"/>
        <v>9972325.6</v>
      </c>
      <c r="E7" s="4">
        <f t="shared" si="3"/>
        <v>3478726.8000000003</v>
      </c>
      <c r="F7" s="4">
        <f t="shared" si="3"/>
        <v>5653425.2</v>
      </c>
      <c r="G7" s="4">
        <f t="shared" si="3"/>
        <v>356683</v>
      </c>
      <c r="H7" s="4">
        <f t="shared" si="3"/>
        <v>2253564.6</v>
      </c>
      <c r="I7" s="4">
        <f t="shared" si="3"/>
        <v>100000</v>
      </c>
      <c r="J7" s="4">
        <f t="shared" si="3"/>
        <v>110800</v>
      </c>
      <c r="K7" s="4">
        <f t="shared" si="3"/>
        <v>100000</v>
      </c>
    </row>
    <row r="8" spans="1:11" ht="12.75">
      <c r="A8" t="s">
        <v>5</v>
      </c>
      <c r="B8" s="5">
        <v>9575917</v>
      </c>
      <c r="C8" s="5">
        <f aca="true" t="shared" si="4" ref="C8:K8">B8*1.025</f>
        <v>9815314.924999999</v>
      </c>
      <c r="D8" s="5">
        <f t="shared" si="4"/>
        <v>10060697.798124999</v>
      </c>
      <c r="E8" s="5">
        <f t="shared" si="4"/>
        <v>10312215.243078124</v>
      </c>
      <c r="F8" s="5">
        <f t="shared" si="4"/>
        <v>10570020.624155076</v>
      </c>
      <c r="G8" s="5">
        <f t="shared" si="4"/>
        <v>10834271.139758952</v>
      </c>
      <c r="H8" s="5">
        <f t="shared" si="4"/>
        <v>11105127.918252924</v>
      </c>
      <c r="I8" s="5">
        <f t="shared" si="4"/>
        <v>11382756.116209246</v>
      </c>
      <c r="J8" s="5">
        <f t="shared" si="4"/>
        <v>11667325.019114476</v>
      </c>
      <c r="K8" s="5">
        <f t="shared" si="4"/>
        <v>11959008.144592337</v>
      </c>
    </row>
    <row r="9" spans="1:11" ht="12.75">
      <c r="A9" t="s">
        <v>6</v>
      </c>
      <c r="C9" s="1">
        <f aca="true" t="shared" si="5" ref="C9:K9">C7/C8/12</f>
        <v>0.013902410098505664</v>
      </c>
      <c r="D9" s="1">
        <f t="shared" si="5"/>
        <v>0.082601341378946</v>
      </c>
      <c r="E9" s="1">
        <f t="shared" si="5"/>
        <v>0.028111699878897087</v>
      </c>
      <c r="F9" s="1">
        <f t="shared" si="5"/>
        <v>0.044571224921741905</v>
      </c>
      <c r="G9" s="1">
        <f t="shared" si="5"/>
        <v>0.0027434778906589782</v>
      </c>
      <c r="H9" s="1">
        <f t="shared" si="5"/>
        <v>0.016910840773957023</v>
      </c>
      <c r="I9" s="1">
        <f t="shared" si="5"/>
        <v>0.000732101544499097</v>
      </c>
      <c r="J9" s="1">
        <f t="shared" si="5"/>
        <v>0.0007913839134682924</v>
      </c>
      <c r="K9" s="1">
        <f t="shared" si="5"/>
        <v>0.0006968247895291825</v>
      </c>
    </row>
    <row r="11" spans="1:9" ht="12.75">
      <c r="A11" t="s">
        <v>73</v>
      </c>
      <c r="C11" s="23">
        <f>((C6-200000)*0.2)/(B8*12)</f>
        <v>0.013901874880494476</v>
      </c>
      <c r="D11" s="23">
        <f>((D6-13609705)*0.2)/(B8*12*1.025)</f>
        <v>0.06155673264520005</v>
      </c>
      <c r="E11" s="23">
        <f>((E6-5693186)*0.2)/(B8*12*1.025*1.025)</f>
        <v>0.01938309554462614</v>
      </c>
      <c r="F11" s="23">
        <f>((F6-858000)*0.2)/(B8*12*1.025*1.025*1.025)</f>
        <v>0.04429880058732265</v>
      </c>
      <c r="G11" s="23">
        <f>((G6-173193)*0.2)/(B8*12*1.025*1.025*1.025*1.025)</f>
        <v>0.002538976439838175</v>
      </c>
      <c r="H11" s="23">
        <f>((H6-5000000)*0.2)/(B8*12*1.025*1.025*1.025*1.025*1.025)</f>
        <v>0.009641969941412308</v>
      </c>
      <c r="I11" s="4"/>
    </row>
    <row r="13" spans="1:8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  <c r="H13" s="2">
        <f>PostageStamp!H33</f>
        <v>1.8999674408235259</v>
      </c>
    </row>
    <row r="15" spans="1:8" ht="12.75">
      <c r="A15" t="s">
        <v>76</v>
      </c>
      <c r="C15" s="2">
        <f aca="true" t="shared" si="6" ref="C15:H15">B3+C4+C5+C11+C13</f>
        <v>1.492529066904273</v>
      </c>
      <c r="D15" s="2">
        <f t="shared" si="6"/>
        <v>1.8587143520341582</v>
      </c>
      <c r="E15" s="2">
        <f t="shared" si="6"/>
        <v>2.4917128564308997</v>
      </c>
      <c r="F15" s="2">
        <f t="shared" si="6"/>
        <v>2.5850164229942436</v>
      </c>
      <c r="G15" s="2">
        <f t="shared" si="6"/>
        <v>2.578778580049777</v>
      </c>
      <c r="H15" s="2">
        <f t="shared" si="6"/>
        <v>3.0460440814538603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6" width="12.28125" style="0" bestFit="1" customWidth="1"/>
    <col min="7" max="7" width="11.28125" style="0" bestFit="1" customWidth="1"/>
  </cols>
  <sheetData>
    <row r="1" ht="12.75">
      <c r="A1" s="21" t="s">
        <v>89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0.357</v>
      </c>
      <c r="C3" s="2">
        <f>B3+C4+C5+C9</f>
        <v>0.33879299999999996</v>
      </c>
      <c r="D3" s="2">
        <f>C3+D4+D5+D9</f>
        <v>0.321514557</v>
      </c>
      <c r="E3" s="2">
        <f>D3+E4+E5+E9</f>
        <v>0.30511731459299996</v>
      </c>
      <c r="F3" s="2">
        <f>E3+F4+F5+F9</f>
        <v>0.289556331548757</v>
      </c>
      <c r="G3" s="2">
        <f>F3+G4+G5+G9</f>
        <v>0.2747889586397704</v>
      </c>
    </row>
    <row r="4" spans="1:7" ht="12.75">
      <c r="A4" t="s">
        <v>1</v>
      </c>
      <c r="C4" s="2">
        <f>-0.026*B3</f>
        <v>-0.009281999999999999</v>
      </c>
      <c r="D4" s="2">
        <f>-0.026*C3</f>
        <v>-0.008808617999999999</v>
      </c>
      <c r="E4" s="2">
        <f>-0.026*D3</f>
        <v>-0.008359378482</v>
      </c>
      <c r="F4" s="2">
        <f>-0.026*E3</f>
        <v>-0.007933050179417998</v>
      </c>
      <c r="G4" s="2">
        <f>-0.026*F3</f>
        <v>-0.007528464620267681</v>
      </c>
    </row>
    <row r="5" spans="1:7" ht="12.75">
      <c r="A5" t="s">
        <v>2</v>
      </c>
      <c r="C5" s="2">
        <f>-0.025*B3</f>
        <v>-0.008925</v>
      </c>
      <c r="D5" s="2">
        <f>-0.025*C3</f>
        <v>-0.008469824999999999</v>
      </c>
      <c r="E5" s="2">
        <f>-0.025*D3</f>
        <v>-0.008037863925</v>
      </c>
      <c r="F5" s="2">
        <f>-0.025*E3</f>
        <v>-0.007627932864824999</v>
      </c>
      <c r="G5" s="2">
        <f>-0.025*F3</f>
        <v>-0.007238908288718925</v>
      </c>
    </row>
    <row r="6" spans="1:7" ht="12.75">
      <c r="A6" t="s">
        <v>3</v>
      </c>
      <c r="C6" s="6"/>
      <c r="D6" s="4"/>
      <c r="E6" s="4"/>
      <c r="F6" s="4"/>
      <c r="G6" s="4"/>
    </row>
    <row r="7" spans="1:7" ht="12.75">
      <c r="A7" t="s">
        <v>4</v>
      </c>
      <c r="C7" s="4">
        <f>0.2*C6</f>
        <v>0</v>
      </c>
      <c r="D7" s="4">
        <f>0.2*D6</f>
        <v>0</v>
      </c>
      <c r="E7" s="4">
        <f>0.2*E6</f>
        <v>0</v>
      </c>
      <c r="F7" s="4">
        <f>0.2*F6</f>
        <v>0</v>
      </c>
      <c r="G7" s="4">
        <f>0.2*G6</f>
        <v>0</v>
      </c>
    </row>
    <row r="8" spans="1:7" ht="12.75">
      <c r="A8" t="s">
        <v>5</v>
      </c>
      <c r="B8" s="5">
        <v>207000</v>
      </c>
      <c r="C8" s="5">
        <f>B8*1.025</f>
        <v>212174.99999999997</v>
      </c>
      <c r="D8" s="5">
        <f>C8*1.025</f>
        <v>217479.37499999994</v>
      </c>
      <c r="E8" s="5">
        <f>D8*1.025</f>
        <v>222916.3593749999</v>
      </c>
      <c r="F8" s="5">
        <f>E8*1.025</f>
        <v>228489.2683593749</v>
      </c>
      <c r="G8" s="5">
        <f>F8*1.025</f>
        <v>234201.50006835925</v>
      </c>
    </row>
    <row r="9" spans="1:7" ht="12.75">
      <c r="A9" t="s">
        <v>6</v>
      </c>
      <c r="C9" s="1">
        <f>C7/C8/12</f>
        <v>0</v>
      </c>
      <c r="D9" s="1">
        <f>D7/D8/12</f>
        <v>0</v>
      </c>
      <c r="E9" s="1">
        <f>E7/E8/12</f>
        <v>0</v>
      </c>
      <c r="F9" s="1">
        <f>F7/F8/12</f>
        <v>0</v>
      </c>
      <c r="G9" s="1">
        <f>G7/G8/12</f>
        <v>0</v>
      </c>
    </row>
    <row r="11" spans="1:7" ht="12.75">
      <c r="A11" t="s">
        <v>73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B3+C4+C5+C13</f>
        <v>0.5286781920237783</v>
      </c>
      <c r="D15" s="2">
        <f>C3+D4+D5+D13</f>
        <v>0.8824626312054761</v>
      </c>
      <c r="E15" s="2">
        <f>D3+E4+E5+E13</f>
        <v>1.5258955441315292</v>
      </c>
      <c r="F15" s="2">
        <f>E3+F4+F5+F13</f>
        <v>1.6158735475215953</v>
      </c>
      <c r="G15" s="2">
        <f>F3+G4+G5+G13</f>
        <v>1.6562644840930316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5" sqref="D15"/>
    </sheetView>
  </sheetViews>
  <sheetFormatPr defaultColWidth="9.140625" defaultRowHeight="12.75"/>
  <cols>
    <col min="1" max="1" width="22.140625" style="0" bestFit="1" customWidth="1"/>
  </cols>
  <sheetData>
    <row r="1" ht="12.75">
      <c r="A1" s="21" t="s">
        <v>88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1.903</v>
      </c>
      <c r="C3" s="2">
        <f>B3+C4+C5+C9</f>
        <v>1.8059470000000002</v>
      </c>
      <c r="D3" s="2">
        <f>C3+D4+D5+D9</f>
        <v>1.7138437030000002</v>
      </c>
      <c r="E3" s="2">
        <f>D3+E4+E5+E9</f>
        <v>1.6264376741470001</v>
      </c>
      <c r="F3" s="2">
        <f>E3+F4+F5+F9</f>
        <v>1.5434893527655031</v>
      </c>
      <c r="G3" s="2">
        <f>F3+G4+G5+G9</f>
        <v>1.4647713957744626</v>
      </c>
    </row>
    <row r="4" spans="1:7" ht="12.75">
      <c r="A4" t="s">
        <v>1</v>
      </c>
      <c r="C4" s="2">
        <f>-0.026*B3</f>
        <v>-0.049478</v>
      </c>
      <c r="D4" s="2">
        <f>-0.026*C3</f>
        <v>-0.046954622</v>
      </c>
      <c r="E4" s="2">
        <f>-0.026*D3</f>
        <v>-0.044559936278000006</v>
      </c>
      <c r="F4" s="2">
        <f>-0.026*E3</f>
        <v>-0.042287379527822</v>
      </c>
      <c r="G4" s="2">
        <f>-0.026*F3</f>
        <v>-0.04013072317190308</v>
      </c>
    </row>
    <row r="5" spans="1:7" ht="12.75">
      <c r="A5" t="s">
        <v>2</v>
      </c>
      <c r="C5" s="2">
        <f>-0.025*B3</f>
        <v>-0.047575000000000006</v>
      </c>
      <c r="D5" s="2">
        <f>-0.025*C3</f>
        <v>-0.045148675000000006</v>
      </c>
      <c r="E5" s="2">
        <f>-0.025*D3</f>
        <v>-0.04284609257500001</v>
      </c>
      <c r="F5" s="2">
        <f>-0.025*E3</f>
        <v>-0.040660941853675005</v>
      </c>
      <c r="G5" s="2">
        <f>-0.025*F3</f>
        <v>-0.03858723381913758</v>
      </c>
    </row>
    <row r="6" spans="1:7" ht="12.75">
      <c r="A6" t="s">
        <v>3</v>
      </c>
      <c r="B6" s="1"/>
      <c r="C6" s="7"/>
      <c r="D6" s="1"/>
      <c r="E6" s="1"/>
      <c r="F6" s="1"/>
      <c r="G6" s="1"/>
    </row>
    <row r="7" spans="1:7" ht="12.75">
      <c r="A7" t="s">
        <v>4</v>
      </c>
      <c r="C7" s="4">
        <f>0.2*C6</f>
        <v>0</v>
      </c>
      <c r="D7" s="4">
        <f>0.2*D6</f>
        <v>0</v>
      </c>
      <c r="E7" s="4">
        <f>0.2*E6</f>
        <v>0</v>
      </c>
      <c r="F7" s="4">
        <f>0.2*F6</f>
        <v>0</v>
      </c>
      <c r="G7" s="4">
        <f>0.2*G6</f>
        <v>0</v>
      </c>
    </row>
    <row r="8" spans="1:7" ht="12.75">
      <c r="A8" t="s">
        <v>5</v>
      </c>
      <c r="B8" s="5">
        <v>325000</v>
      </c>
      <c r="C8" s="5">
        <f>B8*1.025</f>
        <v>333125</v>
      </c>
      <c r="D8" s="5">
        <f>C8*1.025</f>
        <v>341453.12499999994</v>
      </c>
      <c r="E8" s="5">
        <f>D8*1.025</f>
        <v>349989.4531249999</v>
      </c>
      <c r="F8" s="5">
        <f>E8*1.025</f>
        <v>358739.1894531248</v>
      </c>
      <c r="G8" s="5">
        <f>F8*1.025</f>
        <v>367707.6691894529</v>
      </c>
    </row>
    <row r="9" spans="1:7" ht="12.75">
      <c r="A9" t="s">
        <v>6</v>
      </c>
      <c r="C9" s="1">
        <f>C7/C8/12</f>
        <v>0</v>
      </c>
      <c r="D9" s="1">
        <f>D7/D8/12</f>
        <v>0</v>
      </c>
      <c r="E9" s="1">
        <f>E7/E8/12</f>
        <v>0</v>
      </c>
      <c r="F9" s="1">
        <f>F7/F8/12</f>
        <v>0</v>
      </c>
      <c r="G9" s="1">
        <f>G7/G8/12</f>
        <v>0</v>
      </c>
    </row>
    <row r="11" spans="1:7" ht="12.75">
      <c r="A11" t="s">
        <v>73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B3+C4+C5+C13</f>
        <v>1.9958321920237785</v>
      </c>
      <c r="D15" s="2">
        <f>C3+D4+D5+D13</f>
        <v>2.2747917772054764</v>
      </c>
      <c r="E15" s="2">
        <f>D3+E4+E5+E13</f>
        <v>2.8472159036855293</v>
      </c>
      <c r="F15" s="2">
        <f>E3+F4+F5+F13</f>
        <v>2.8698065687383414</v>
      </c>
      <c r="G15" s="2">
        <f>F3+G4+G5+G13</f>
        <v>2.846246921227724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18" sqref="G18"/>
    </sheetView>
  </sheetViews>
  <sheetFormatPr defaultColWidth="9.140625" defaultRowHeight="12.75"/>
  <cols>
    <col min="1" max="1" width="22.140625" style="0" bestFit="1" customWidth="1"/>
    <col min="3" max="3" width="15.00390625" style="0" bestFit="1" customWidth="1"/>
    <col min="4" max="6" width="14.00390625" style="0" bestFit="1" customWidth="1"/>
    <col min="7" max="7" width="10.28125" style="0" bestFit="1" customWidth="1"/>
    <col min="8" max="9" width="14.00390625" style="0" bestFit="1" customWidth="1"/>
  </cols>
  <sheetData>
    <row r="1" ht="12.75">
      <c r="A1" s="21" t="s">
        <v>18</v>
      </c>
    </row>
    <row r="2" spans="2:9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</row>
    <row r="3" spans="1:9" ht="12.75">
      <c r="A3" t="s">
        <v>0</v>
      </c>
      <c r="B3" s="1">
        <v>2.48</v>
      </c>
      <c r="C3" s="2">
        <f aca="true" t="shared" si="0" ref="C3:I3">B3+C4+C5+C9</f>
        <v>2.6752690211292602</v>
      </c>
      <c r="D3" s="2">
        <f t="shared" si="0"/>
        <v>2.667792159682989</v>
      </c>
      <c r="E3" s="2">
        <f t="shared" si="0"/>
        <v>2.6291410414322076</v>
      </c>
      <c r="F3" s="2">
        <f t="shared" si="0"/>
        <v>2.5520731596711954</v>
      </c>
      <c r="G3" s="2">
        <f t="shared" si="0"/>
        <v>2.4219174285279643</v>
      </c>
      <c r="H3" s="2">
        <f t="shared" si="0"/>
        <v>3.3832657974541647</v>
      </c>
      <c r="I3" s="2">
        <f t="shared" si="0"/>
        <v>3.2794770254805026</v>
      </c>
    </row>
    <row r="4" spans="1:9" ht="12.75">
      <c r="A4" t="s">
        <v>1</v>
      </c>
      <c r="C4" s="2">
        <f>-0.026*B3</f>
        <v>-0.06448</v>
      </c>
      <c r="D4" s="2">
        <f aca="true" t="shared" si="1" ref="D4:I4">-0.026*C3</f>
        <v>-0.06955699454936076</v>
      </c>
      <c r="E4" s="2">
        <f t="shared" si="1"/>
        <v>-0.06936259615175772</v>
      </c>
      <c r="F4" s="2">
        <f t="shared" si="1"/>
        <v>-0.0683576670772374</v>
      </c>
      <c r="G4" s="2">
        <f t="shared" si="1"/>
        <v>-0.06635390215145108</v>
      </c>
      <c r="H4" s="2">
        <f t="shared" si="1"/>
        <v>-0.06296985314172707</v>
      </c>
      <c r="I4" s="2">
        <f t="shared" si="1"/>
        <v>-0.08796491073380827</v>
      </c>
    </row>
    <row r="5" spans="1:9" ht="12.75">
      <c r="A5" t="s">
        <v>2</v>
      </c>
      <c r="C5" s="2">
        <f aca="true" t="shared" si="2" ref="C5:I5">-0.025*B3</f>
        <v>-0.062</v>
      </c>
      <c r="D5" s="2">
        <f t="shared" si="2"/>
        <v>-0.0668817255282315</v>
      </c>
      <c r="E5" s="2">
        <f t="shared" si="2"/>
        <v>-0.06669480399207472</v>
      </c>
      <c r="F5" s="2">
        <f t="shared" si="2"/>
        <v>-0.06572852603580519</v>
      </c>
      <c r="G5" s="2">
        <f t="shared" si="2"/>
        <v>-0.06380182899177989</v>
      </c>
      <c r="H5" s="2">
        <f t="shared" si="2"/>
        <v>-0.06054793571319911</v>
      </c>
      <c r="I5" s="2">
        <f t="shared" si="2"/>
        <v>-0.08458164493635412</v>
      </c>
    </row>
    <row r="6" spans="1:9" ht="12.75">
      <c r="A6" t="s">
        <v>3</v>
      </c>
      <c r="B6" s="1"/>
      <c r="C6" s="6">
        <v>18864000</v>
      </c>
      <c r="D6" s="4">
        <v>7750000</v>
      </c>
      <c r="E6" s="4">
        <v>6000000</v>
      </c>
      <c r="F6" s="4">
        <v>3600000</v>
      </c>
      <c r="G6" s="1">
        <v>0</v>
      </c>
      <c r="H6" s="4">
        <f>900000+1840000+35000000+34223461</f>
        <v>71963461</v>
      </c>
      <c r="I6" s="4">
        <v>4675000</v>
      </c>
    </row>
    <row r="7" spans="1:9" ht="12.75">
      <c r="A7" t="s">
        <v>4</v>
      </c>
      <c r="C7" s="4">
        <f aca="true" t="shared" si="3" ref="C7:I7">0.2*C6</f>
        <v>3772800</v>
      </c>
      <c r="D7" s="4">
        <f t="shared" si="3"/>
        <v>1550000</v>
      </c>
      <c r="E7" s="4">
        <f t="shared" si="3"/>
        <v>1200000</v>
      </c>
      <c r="F7" s="4">
        <f t="shared" si="3"/>
        <v>720000</v>
      </c>
      <c r="G7" s="4">
        <f t="shared" si="3"/>
        <v>0</v>
      </c>
      <c r="H7" s="4">
        <f t="shared" si="3"/>
        <v>14392692.200000001</v>
      </c>
      <c r="I7" s="4">
        <f t="shared" si="3"/>
        <v>935000</v>
      </c>
    </row>
    <row r="8" spans="1:9" ht="12.75">
      <c r="A8" t="s">
        <v>5</v>
      </c>
      <c r="B8" s="5">
        <v>953326</v>
      </c>
      <c r="C8" s="5">
        <f aca="true" t="shared" si="4" ref="C8:I8">B8*1.025</f>
        <v>977159.1499999999</v>
      </c>
      <c r="D8" s="5">
        <f t="shared" si="4"/>
        <v>1001588.1287499998</v>
      </c>
      <c r="E8" s="5">
        <f t="shared" si="4"/>
        <v>1026627.8319687498</v>
      </c>
      <c r="F8" s="5">
        <f t="shared" si="4"/>
        <v>1052293.5277679684</v>
      </c>
      <c r="G8" s="5">
        <f t="shared" si="4"/>
        <v>1078600.8659621675</v>
      </c>
      <c r="H8" s="5">
        <f t="shared" si="4"/>
        <v>1105565.8876112215</v>
      </c>
      <c r="I8" s="5">
        <f t="shared" si="4"/>
        <v>1133205.034801502</v>
      </c>
    </row>
    <row r="9" spans="1:9" ht="12.75">
      <c r="A9" t="s">
        <v>6</v>
      </c>
      <c r="C9" s="1">
        <f aca="true" t="shared" si="5" ref="C9:I9">C7/C8/12</f>
        <v>0.3217490211292603</v>
      </c>
      <c r="D9" s="1">
        <f t="shared" si="5"/>
        <v>0.12896185863132084</v>
      </c>
      <c r="E9" s="1">
        <f t="shared" si="5"/>
        <v>0.09740628189305116</v>
      </c>
      <c r="F9" s="1">
        <f t="shared" si="5"/>
        <v>0.057018311352029956</v>
      </c>
      <c r="G9" s="1">
        <f t="shared" si="5"/>
        <v>0</v>
      </c>
      <c r="H9" s="1">
        <f t="shared" si="5"/>
        <v>1.0848661577811265</v>
      </c>
      <c r="I9" s="1">
        <f t="shared" si="5"/>
        <v>0.06875778369650021</v>
      </c>
    </row>
    <row r="11" ht="12.75">
      <c r="A11" s="19" t="s">
        <v>46</v>
      </c>
    </row>
    <row r="12" ht="12.75">
      <c r="A12" s="19" t="s">
        <v>47</v>
      </c>
    </row>
    <row r="14" spans="1:8" ht="12.75">
      <c r="A14" t="s">
        <v>73</v>
      </c>
      <c r="C14" s="1">
        <f>+C9</f>
        <v>0.3217490211292603</v>
      </c>
      <c r="D14" s="1">
        <f>+D9</f>
        <v>0.12896185863132084</v>
      </c>
      <c r="E14" s="1">
        <f>+E9</f>
        <v>0.09740628189305116</v>
      </c>
      <c r="F14" s="1">
        <f>+F9</f>
        <v>0.057018311352029956</v>
      </c>
      <c r="G14" s="1">
        <f>+G9</f>
        <v>0</v>
      </c>
      <c r="H14" s="23">
        <f>((H6-35000000)*0.2)/(H8*12)</f>
        <v>0.557232897864133</v>
      </c>
    </row>
    <row r="16" spans="1:8" ht="12.75">
      <c r="A16" t="s">
        <v>79</v>
      </c>
      <c r="C16" s="2">
        <f>PostageStamp!C33</f>
        <v>0.18988519202377838</v>
      </c>
      <c r="D16" s="2">
        <f>PostageStamp!D33</f>
        <v>0.5609480742054761</v>
      </c>
      <c r="E16" s="2">
        <f>PostageStamp!E33</f>
        <v>1.2207782295385292</v>
      </c>
      <c r="F16" s="2">
        <f>PostageStamp!F33</f>
        <v>1.3263172159728382</v>
      </c>
      <c r="G16" s="2">
        <f>PostageStamp!G33</f>
        <v>1.3814755254532614</v>
      </c>
      <c r="H16" s="2">
        <f>PostageStamp!H33</f>
        <v>1.8999674408235259</v>
      </c>
    </row>
    <row r="18" spans="1:8" ht="12.75">
      <c r="A18" t="s">
        <v>76</v>
      </c>
      <c r="C18" s="2">
        <f aca="true" t="shared" si="6" ref="C18:H18">B3+C4+C5+C16+C14</f>
        <v>2.8651542131530388</v>
      </c>
      <c r="D18" s="2">
        <f t="shared" si="6"/>
        <v>3.228740233888465</v>
      </c>
      <c r="E18" s="2">
        <f t="shared" si="6"/>
        <v>3.849919270970737</v>
      </c>
      <c r="F18" s="2">
        <f t="shared" si="6"/>
        <v>3.8783903756440337</v>
      </c>
      <c r="G18" s="2">
        <f t="shared" si="6"/>
        <v>3.8033929539812257</v>
      </c>
      <c r="H18" s="2">
        <f t="shared" si="6"/>
        <v>4.7555999783606975</v>
      </c>
    </row>
    <row r="20" ht="12.75">
      <c r="A20" s="19" t="s"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5" sqref="C15"/>
    </sheetView>
  </sheetViews>
  <sheetFormatPr defaultColWidth="9.140625" defaultRowHeight="12.75"/>
  <cols>
    <col min="1" max="1" width="22.140625" style="0" bestFit="1" customWidth="1"/>
    <col min="2" max="2" width="10.28125" style="0" bestFit="1" customWidth="1"/>
    <col min="3" max="3" width="15.00390625" style="0" bestFit="1" customWidth="1"/>
    <col min="4" max="4" width="14.00390625" style="0" bestFit="1" customWidth="1"/>
    <col min="5" max="5" width="15.00390625" style="0" bestFit="1" customWidth="1"/>
    <col min="6" max="6" width="14.00390625" style="0" bestFit="1" customWidth="1"/>
    <col min="7" max="7" width="15.00390625" style="0" bestFit="1" customWidth="1"/>
  </cols>
  <sheetData>
    <row r="1" ht="12.75">
      <c r="A1" s="21" t="s">
        <v>87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0.852</v>
      </c>
      <c r="C3" s="2">
        <f>B3+C4+C5+C9</f>
        <v>0.8610348952556849</v>
      </c>
      <c r="D3" s="2">
        <f>C3+D4+D5+D9</f>
        <v>0.8258675489333388</v>
      </c>
      <c r="E3" s="2">
        <f>D3+E4+E5+E9</f>
        <v>0.8468143060500248</v>
      </c>
      <c r="F3" s="2">
        <f>E3+F4+F5+F9</f>
        <v>0.8166764174248239</v>
      </c>
      <c r="G3" s="2">
        <f>F3+G4+G5+G9</f>
        <v>0.8239334284269295</v>
      </c>
    </row>
    <row r="4" spans="1:7" ht="12.75">
      <c r="A4" t="s">
        <v>1</v>
      </c>
      <c r="C4" s="2">
        <f>-0.026*B3</f>
        <v>-0.022151999999999998</v>
      </c>
      <c r="D4" s="2">
        <f>-0.026*C3</f>
        <v>-0.022386907276647806</v>
      </c>
      <c r="E4" s="2">
        <f>-0.026*D3</f>
        <v>-0.021472556272266807</v>
      </c>
      <c r="F4" s="2">
        <f>-0.026*E3</f>
        <v>-0.022017171957300644</v>
      </c>
      <c r="G4" s="2">
        <f>-0.026*F3</f>
        <v>-0.02123358685304542</v>
      </c>
    </row>
    <row r="5" spans="1:7" ht="12.75">
      <c r="A5" t="s">
        <v>2</v>
      </c>
      <c r="C5" s="2">
        <f>-0.025*B3</f>
        <v>-0.0213</v>
      </c>
      <c r="D5" s="2">
        <f>-0.025*C3</f>
        <v>-0.021525872381392124</v>
      </c>
      <c r="E5" s="2">
        <f>-0.025*D3</f>
        <v>-0.020646688723333473</v>
      </c>
      <c r="F5" s="2">
        <f>-0.025*E3</f>
        <v>-0.021170357651250624</v>
      </c>
      <c r="G5" s="2">
        <f>-0.025*F3</f>
        <v>-0.0204169104356206</v>
      </c>
    </row>
    <row r="6" spans="1:7" ht="12.75">
      <c r="A6" t="s">
        <v>3</v>
      </c>
      <c r="B6" s="1"/>
      <c r="C6" s="6">
        <f>29966200+335900+65000</f>
        <v>30367100</v>
      </c>
      <c r="D6" s="4">
        <f>476700+605900+303900+661200+939500+184100+151900+283200+1024500+555400</f>
        <v>5186300</v>
      </c>
      <c r="E6" s="4">
        <f>6256900+10210700+2712300+1615100+311400+12963300+64250+64250+100000+100000+1897100+539400+1500300</f>
        <v>38335000</v>
      </c>
      <c r="F6" s="4">
        <f>5170600+1873200+116300+970500</f>
        <v>8130600</v>
      </c>
      <c r="G6" s="1">
        <f>12794000+15254100+1303500+941050+941050</f>
        <v>31233700</v>
      </c>
    </row>
    <row r="7" spans="1:7" ht="12.75">
      <c r="A7" t="s">
        <v>4</v>
      </c>
      <c r="C7" s="4">
        <f>0.2*C6</f>
        <v>6073420</v>
      </c>
      <c r="D7" s="4">
        <f>0.2*D6</f>
        <v>1037260</v>
      </c>
      <c r="E7" s="4">
        <f>0.2*E6</f>
        <v>7667000</v>
      </c>
      <c r="F7" s="4">
        <f>0.2*F6</f>
        <v>1626120</v>
      </c>
      <c r="G7" s="4">
        <f>0.2*G6</f>
        <v>6246740</v>
      </c>
    </row>
    <row r="8" spans="1:7" ht="12.75">
      <c r="A8" t="s">
        <v>5</v>
      </c>
      <c r="B8" s="5">
        <v>9407567</v>
      </c>
      <c r="C8" s="5">
        <f>B8*1.025</f>
        <v>9642756.174999999</v>
      </c>
      <c r="D8" s="5">
        <f>C8*1.025</f>
        <v>9883825.079374999</v>
      </c>
      <c r="E8" s="5">
        <f>D8*1.025</f>
        <v>10130920.706359373</v>
      </c>
      <c r="F8" s="5">
        <f>E8*1.025</f>
        <v>10384193.724018358</v>
      </c>
      <c r="G8" s="5">
        <f>F8*1.025</f>
        <v>10643798.567118816</v>
      </c>
    </row>
    <row r="9" spans="1:7" ht="12.75">
      <c r="A9" t="s">
        <v>6</v>
      </c>
      <c r="C9" s="1">
        <f>C7/C8/12</f>
        <v>0.05248689525568486</v>
      </c>
      <c r="D9" s="1">
        <f>D7/D8/12</f>
        <v>0.008745433335693881</v>
      </c>
      <c r="E9" s="1">
        <f>E7/E8/12</f>
        <v>0.06306600211228644</v>
      </c>
      <c r="F9" s="1">
        <f>F7/F8/12</f>
        <v>0.013049640983350402</v>
      </c>
      <c r="G9" s="1">
        <f>G7/G8/12</f>
        <v>0.048907508290771624</v>
      </c>
    </row>
    <row r="11" spans="1:7" ht="12.75">
      <c r="A11" t="s">
        <v>73</v>
      </c>
      <c r="C11" s="23">
        <f>((C6-29966200)*0.2)/(B$8*12)</f>
        <v>0.0007102438565323709</v>
      </c>
      <c r="D11" s="23">
        <f>((D6-1377100)*0.2)/(C$8*12*1.025)</f>
        <v>0.0064232891777037835</v>
      </c>
      <c r="E11" s="23">
        <f>((E6-19979800)*0.2)/(D$8*12)</f>
        <v>0.030951579731856686</v>
      </c>
      <c r="F11" s="23">
        <f>((F6-1873100)*0.2)/(E$8*12)</f>
        <v>0.010294391762557255</v>
      </c>
      <c r="G11" s="23">
        <f>((G6-0)*0.2)/(F$8*12)</f>
        <v>0.050130195998040916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0.9991434358803108</v>
      </c>
      <c r="D15" s="2">
        <f>C3+D4+D5+D11+D13</f>
        <v>1.3844934789808248</v>
      </c>
      <c r="E15" s="2">
        <f>D3+E4+E5+E11+E13</f>
        <v>2.035478113208124</v>
      </c>
      <c r="F15" s="2">
        <f>E3+F4+F5+F11+F13</f>
        <v>2.140238384176869</v>
      </c>
      <c r="G15" s="2">
        <f>F3+G4+G5+G11+G13</f>
        <v>2.2066316415874603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C15" sqref="C15"/>
    </sheetView>
  </sheetViews>
  <sheetFormatPr defaultColWidth="9.140625" defaultRowHeight="12.75"/>
  <cols>
    <col min="1" max="1" width="22.140625" style="0" bestFit="1" customWidth="1"/>
    <col min="2" max="3" width="11.28125" style="0" bestFit="1" customWidth="1"/>
    <col min="4" max="5" width="14.00390625" style="0" bestFit="1" customWidth="1"/>
    <col min="6" max="7" width="11.28125" style="0" bestFit="1" customWidth="1"/>
  </cols>
  <sheetData>
    <row r="1" ht="12.75">
      <c r="A1" s="21" t="s">
        <v>86</v>
      </c>
    </row>
    <row r="2" spans="2:7" ht="12.75"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</row>
    <row r="3" spans="1:7" ht="12.75">
      <c r="A3" t="s">
        <v>0</v>
      </c>
      <c r="B3" s="1">
        <v>1.18</v>
      </c>
      <c r="C3" s="2">
        <f>B3+C4+C5+C9</f>
        <v>1.1386999999999998</v>
      </c>
      <c r="D3" s="2">
        <f>C3+D4+D5+D9</f>
        <v>1.1054120085455075</v>
      </c>
      <c r="E3" s="2">
        <f>D3+E4+E5+E9</f>
        <v>1.0786127473107112</v>
      </c>
      <c r="F3" s="2">
        <f>E3+F4+F5+F9</f>
        <v>1.0408613011548362</v>
      </c>
      <c r="G3" s="2">
        <f>F3+G4+G5+G9</f>
        <v>1.004431155614417</v>
      </c>
    </row>
    <row r="4" spans="1:7" ht="12.75">
      <c r="A4" t="s">
        <v>1</v>
      </c>
      <c r="C4" s="2">
        <f>-0.01*B3</f>
        <v>-0.0118</v>
      </c>
      <c r="D4" s="2">
        <f>-0.01*C3</f>
        <v>-0.011386999999999998</v>
      </c>
      <c r="E4" s="2">
        <f>-0.01*D3</f>
        <v>-0.011054120085455074</v>
      </c>
      <c r="F4" s="2">
        <f>-0.01*E3</f>
        <v>-0.010786127473107112</v>
      </c>
      <c r="G4" s="2">
        <f>-0.01*F3</f>
        <v>-0.010408613011548362</v>
      </c>
    </row>
    <row r="5" spans="1:7" ht="12.75">
      <c r="A5" t="s">
        <v>2</v>
      </c>
      <c r="C5" s="2">
        <f>-0.025*B3</f>
        <v>-0.0295</v>
      </c>
      <c r="D5" s="2">
        <f>-0.025*C3</f>
        <v>-0.028467499999999996</v>
      </c>
      <c r="E5" s="2">
        <f>-0.025*D3</f>
        <v>-0.02763530021363769</v>
      </c>
      <c r="F5" s="2">
        <f>-0.025*E3</f>
        <v>-0.026965318682767782</v>
      </c>
      <c r="G5" s="2">
        <f>-0.025*F3</f>
        <v>-0.026021532528870905</v>
      </c>
    </row>
    <row r="6" spans="1:7" ht="12.75">
      <c r="A6" t="s">
        <v>3</v>
      </c>
      <c r="B6" s="1"/>
      <c r="C6" s="7"/>
      <c r="D6" s="4">
        <f>2713000+1815566</f>
        <v>4528566</v>
      </c>
      <c r="E6" s="4">
        <v>8405000</v>
      </c>
      <c r="F6" s="1"/>
      <c r="G6" s="1"/>
    </row>
    <row r="7" spans="1:7" ht="12.75">
      <c r="A7" t="s">
        <v>4</v>
      </c>
      <c r="C7" s="4">
        <f>0.2*C6</f>
        <v>0</v>
      </c>
      <c r="D7" s="4">
        <f>0.2*D6</f>
        <v>905713.2000000001</v>
      </c>
      <c r="E7" s="4">
        <f>0.2*E6</f>
        <v>1681000</v>
      </c>
      <c r="F7" s="4">
        <f>0.2*F6</f>
        <v>0</v>
      </c>
      <c r="G7" s="4">
        <f>0.2*G6</f>
        <v>0</v>
      </c>
    </row>
    <row r="8" spans="1:7" ht="12.75">
      <c r="A8" t="s">
        <v>5</v>
      </c>
      <c r="B8" s="5">
        <v>10940249</v>
      </c>
      <c r="C8" s="5">
        <f>B8*1.025</f>
        <v>11213755.225</v>
      </c>
      <c r="D8" s="5">
        <f>C8*1.025</f>
        <v>11494099.105624998</v>
      </c>
      <c r="E8" s="5">
        <f>D8*1.025</f>
        <v>11781451.583265621</v>
      </c>
      <c r="F8" s="5">
        <f>E8*1.025</f>
        <v>12075987.87284726</v>
      </c>
      <c r="G8" s="5">
        <f>F8*1.025</f>
        <v>12377887.569668442</v>
      </c>
    </row>
    <row r="9" spans="1:7" ht="12.75">
      <c r="A9" t="s">
        <v>6</v>
      </c>
      <c r="C9" s="1">
        <f>C7/C8/12</f>
        <v>0</v>
      </c>
      <c r="D9" s="1">
        <f>D7/D8/12</f>
        <v>0.00656650854550779</v>
      </c>
      <c r="E9" s="1">
        <f>E7/E8/12</f>
        <v>0.011890159064296267</v>
      </c>
      <c r="F9" s="1">
        <f>F7/F8/12</f>
        <v>0</v>
      </c>
      <c r="G9" s="1">
        <f>G7/G8/12</f>
        <v>0</v>
      </c>
    </row>
    <row r="11" spans="1:7" ht="12.75">
      <c r="A11" t="s">
        <v>73</v>
      </c>
      <c r="C11" s="2">
        <f>C9</f>
        <v>0</v>
      </c>
      <c r="D11" s="1">
        <f>((D6-1815566)*0.2)/(E$8*12)</f>
        <v>0.00383795378244328</v>
      </c>
      <c r="E11" s="1">
        <f>((E6-8405000)*0.2)/(C$8*12*1.025*1.025)</f>
        <v>0</v>
      </c>
      <c r="F11" s="1">
        <f>F9</f>
        <v>0</v>
      </c>
      <c r="G11" s="1">
        <f>G9</f>
        <v>0</v>
      </c>
    </row>
    <row r="13" spans="1:7" ht="12.75">
      <c r="A13" t="s">
        <v>79</v>
      </c>
      <c r="C13" s="2">
        <f>PostageStamp!C33</f>
        <v>0.18988519202377838</v>
      </c>
      <c r="D13" s="2">
        <f>PostageStamp!D33</f>
        <v>0.5609480742054761</v>
      </c>
      <c r="E13" s="2">
        <f>PostageStamp!E33</f>
        <v>1.2207782295385292</v>
      </c>
      <c r="F13" s="2">
        <f>PostageStamp!F33</f>
        <v>1.3263172159728382</v>
      </c>
      <c r="G13" s="2">
        <f>PostageStamp!G33</f>
        <v>1.3814755254532614</v>
      </c>
    </row>
    <row r="15" spans="1:7" ht="12.75">
      <c r="A15" t="s">
        <v>76</v>
      </c>
      <c r="C15" s="2">
        <f>B3+C4+C5+C11+C13</f>
        <v>1.3285851920237781</v>
      </c>
      <c r="D15" s="2">
        <f>C3+D4+D5+D11+D13</f>
        <v>1.6636315279879192</v>
      </c>
      <c r="E15" s="2">
        <f>D3+E4+E5+E11+E13</f>
        <v>2.2875008177849443</v>
      </c>
      <c r="F15" s="2">
        <f>E3+F4+F5+F11+F13</f>
        <v>2.3671785171276745</v>
      </c>
      <c r="G15" s="2">
        <f>F3+G4+G5+G11+G13</f>
        <v>2.385906681067678</v>
      </c>
    </row>
    <row r="17" ht="12.75">
      <c r="A17" s="19" t="s">
        <v>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Julie Voeck</Manager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MISO Transmission Pricing</dc:title>
  <dc:subject>Post Transition Period Cost Analysis</dc:subject>
  <dc:creator>Mal Bertsch</dc:creator>
  <cp:keywords/>
  <dc:description/>
  <cp:lastModifiedBy>ATC</cp:lastModifiedBy>
  <cp:lastPrinted>2006-09-14T15:50:05Z</cp:lastPrinted>
  <dcterms:created xsi:type="dcterms:W3CDTF">2006-08-16T19:37:01Z</dcterms:created>
  <dcterms:modified xsi:type="dcterms:W3CDTF">2007-01-09T19:41:12Z</dcterms:modified>
  <cp:category/>
  <cp:version/>
  <cp:contentType/>
  <cp:contentStatus/>
</cp:coreProperties>
</file>